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3"/>
  </bookViews>
  <sheets>
    <sheet name="P&amp;L" sheetId="1" r:id="rId1"/>
    <sheet name="Bal. Sheet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1">'Bal. Sheet'!$B$1:$H$55</definedName>
    <definedName name="_xlnm.Print_Area" localSheetId="3">'CC CASH FLOW'!$A$1:$N$103</definedName>
    <definedName name="_xlnm.Print_Area" localSheetId="2">'CC ST. OF C. IN EQUITY'!$A$1:$T$38</definedName>
    <definedName name="_xlnm.Print_Area" localSheetId="0">'P&amp;L'!$B$1:$N$54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sharedStrings.xml><?xml version="1.0" encoding="utf-8"?>
<sst xmlns="http://schemas.openxmlformats.org/spreadsheetml/2006/main" count="221" uniqueCount="187">
  <si>
    <t>BIMB HOLDINGS BERHAD</t>
  </si>
  <si>
    <t xml:space="preserve">As at </t>
  </si>
  <si>
    <t>June 30, 2002</t>
  </si>
  <si>
    <t>ASSETS</t>
  </si>
  <si>
    <t>Cash and balances with banks and agents</t>
  </si>
  <si>
    <t>Deposits and placement with financial institutions</t>
  </si>
  <si>
    <t>Dealing securities</t>
  </si>
  <si>
    <t>Investment securities</t>
  </si>
  <si>
    <t>Financing of customers</t>
  </si>
  <si>
    <t>Statutory deposits with Bank Negara Malaysia</t>
  </si>
  <si>
    <t>Statutory deposits with Accountant General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</si>
  <si>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</si>
  <si>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</si>
  <si>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</si>
  <si>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</si>
  <si>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</si>
  <si>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</si>
  <si>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</si>
  <si>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</si>
  <si>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</si>
  <si>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</si>
  <si>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</si>
  <si>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</si>
  <si>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Group Family Takaful Fund</t>
  </si>
  <si>
    <t>General Retakaful Fund</t>
  </si>
  <si>
    <t>ASEAN Takaful Group Retakaful Pool</t>
  </si>
  <si>
    <t>Family Retakaful Fund</t>
  </si>
  <si>
    <t>Total Takaful Funds</t>
  </si>
  <si>
    <t>Minority Interest</t>
  </si>
  <si>
    <t>Total Liabilities, Shareholders' Funds and Takaful Funds</t>
  </si>
  <si>
    <t>COMMITMENTS AND CONTINGENCIES</t>
  </si>
  <si>
    <t>Net tangible assets per share (RM)</t>
  </si>
  <si>
    <t>Staff Cost</t>
  </si>
  <si>
    <t>Depreciation &amp; amortisation</t>
  </si>
  <si>
    <t>Finance Cost</t>
  </si>
  <si>
    <t>Share in the results of associated</t>
  </si>
  <si>
    <t>companies</t>
  </si>
  <si>
    <t>Profit Before Tax and Zakat</t>
  </si>
  <si>
    <t xml:space="preserve">Taxation </t>
  </si>
  <si>
    <t>Zakat</t>
  </si>
  <si>
    <t>Profit / (loss) After Taxation, Zakat</t>
  </si>
  <si>
    <t xml:space="preserve">Minority Interests </t>
  </si>
  <si>
    <t>Earning Per Share - basic (sen)</t>
  </si>
  <si>
    <t>Cash and balances with bank and agents</t>
  </si>
  <si>
    <t>Provision for Financing Loss</t>
  </si>
  <si>
    <t xml:space="preserve">Net Profit for the period </t>
  </si>
  <si>
    <t>Other operating expenses</t>
  </si>
  <si>
    <t xml:space="preserve">Unaudited Condensed Consolidated Income Statement 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</si>
  <si>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</si>
  <si>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</si>
  <si>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</si>
  <si>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</si>
  <si>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</si>
  <si>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</si>
  <si>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</si>
  <si>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</si>
  <si>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</si>
  <si>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</si>
  <si>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</si>
  <si>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</si>
  <si>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</si>
  <si>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</si>
  <si>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</si>
  <si>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</si>
  <si>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</si>
  <si>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</si>
  <si>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>At 1 July, 2002</t>
  </si>
  <si>
    <t xml:space="preserve">Currency translation differences </t>
  </si>
  <si>
    <t>Net gain not recognised in the</t>
  </si>
  <si>
    <t xml:space="preserve">income statement </t>
  </si>
  <si>
    <t>Dividends</t>
  </si>
  <si>
    <t>Revenue</t>
  </si>
  <si>
    <t xml:space="preserve">RM'000 </t>
  </si>
  <si>
    <t>Investment in associated companies</t>
  </si>
  <si>
    <t>Due from associated company</t>
  </si>
  <si>
    <t>Other payables</t>
  </si>
  <si>
    <t>Profit from operation</t>
  </si>
  <si>
    <t>before Minority Interests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</si>
  <si>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</si>
  <si>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</si>
  <si>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</si>
  <si>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</si>
  <si>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</si>
  <si>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Purchase of fixed assets</t>
  </si>
  <si>
    <t>Deposits and placement with financial instituion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</si>
  <si>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</si>
  <si>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</si>
  <si>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</si>
  <si>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</si>
  <si>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</si>
  <si>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</si>
  <si>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</si>
  <si>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Net cash generated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</si>
  <si>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</si>
  <si>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</si>
  <si>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</si>
  <si>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</si>
  <si>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ATTACHMENT I</t>
  </si>
  <si>
    <t>ATTACHMENT II</t>
  </si>
  <si>
    <t>Increase/(Decrease) in Family Takaful</t>
  </si>
  <si>
    <t>Increase/(Decrease) in General Takaful</t>
  </si>
  <si>
    <t>Increase/(Decrease) in Group Family Takaful</t>
  </si>
  <si>
    <t>Increase/(Decrease) in General Retakaful</t>
  </si>
  <si>
    <t xml:space="preserve">Cash generated from operation </t>
  </si>
  <si>
    <t>Tax Paid</t>
  </si>
  <si>
    <t>Zakat Paid</t>
  </si>
  <si>
    <t>Net cash (used) / generated from operating activities</t>
  </si>
  <si>
    <t>Proceeds from issuance of shares-MI</t>
  </si>
  <si>
    <t>Dividend Paid</t>
  </si>
  <si>
    <t>CASH AND CASH EQUIVALENTS AT BEGINNING OF THE YEAR</t>
  </si>
  <si>
    <t>At 1 July, 2001</t>
  </si>
  <si>
    <t xml:space="preserve">in the income statement </t>
  </si>
  <si>
    <t xml:space="preserve">Net gain/(loss) not recognised </t>
  </si>
  <si>
    <t>Consolidation adjustment</t>
  </si>
  <si>
    <t>ATTACHMENT III</t>
  </si>
  <si>
    <t>ATTACHMENT IV</t>
  </si>
  <si>
    <t>Increase/(Decrease) in ASEAN Takaful Group Retakaful Pool</t>
  </si>
  <si>
    <t xml:space="preserve">Increase/(Decrease) in Family Retakaful </t>
  </si>
  <si>
    <t>Share of loss of associated co.</t>
  </si>
  <si>
    <t>NET INCREASE/(DECREASE) IN CASH AND CASH EQUIVALENTS</t>
  </si>
  <si>
    <t xml:space="preserve">Net profit for the period </t>
  </si>
  <si>
    <t>Restated balance</t>
  </si>
  <si>
    <t>for the Period Ended 30th June 2003</t>
  </si>
  <si>
    <t>Unaudited Condensed Consolidated Balance Sheet as at 30th June 2003</t>
  </si>
  <si>
    <t>30 June</t>
  </si>
  <si>
    <t>12 months ended</t>
  </si>
  <si>
    <t>Obligations on securities sold under repurchase agreements</t>
  </si>
  <si>
    <t>Property, plant and equipment</t>
  </si>
  <si>
    <t>June 30, 2003</t>
  </si>
  <si>
    <t>At 30 June, 2003</t>
  </si>
  <si>
    <t>At 30 June, 2002</t>
  </si>
  <si>
    <t>30 JUNE</t>
  </si>
  <si>
    <t xml:space="preserve">FOR THE YEAR ENDED 30 JUNE, 2003 </t>
  </si>
  <si>
    <t>FOR THE YEAR ENDED 30 JUNE 2003</t>
  </si>
  <si>
    <t>12 MONTHS ENDED</t>
  </si>
  <si>
    <t>2003</t>
  </si>
  <si>
    <t>2002</t>
  </si>
  <si>
    <t>Net profit for the year</t>
  </si>
  <si>
    <t>Transfer to Reserve Fund</t>
  </si>
  <si>
    <t>Amortisation of goodwill on consolidation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</si>
  <si>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</si>
  <si>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</si>
  <si>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</si>
  <si>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</si>
  <si>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</si>
  <si>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</si>
  <si>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Net gain on disposal of onvestment</t>
  </si>
  <si>
    <t>Stock written down</t>
  </si>
  <si>
    <t>Provision for diminution in value of investments</t>
  </si>
  <si>
    <t>Write back of provision for diminution in value of investments</t>
  </si>
  <si>
    <t>Unrealised foreign exchange loss</t>
  </si>
  <si>
    <t>Provision for bad and doubtful financing</t>
  </si>
  <si>
    <t>Write back of provision for bad and doubtful financing</t>
  </si>
  <si>
    <t>Decrease/(Increase) in bill receivables</t>
  </si>
  <si>
    <t>Decrease/(Increase) in other receivables</t>
  </si>
  <si>
    <t>Decrease/(Increase) in due from associate co.</t>
  </si>
  <si>
    <t>Decrease/(Increase) in statutory deposit with BNM</t>
  </si>
  <si>
    <t>Increase/(Decrease)in bill payables</t>
  </si>
  <si>
    <t>Increase/(Decrease) in other payables</t>
  </si>
  <si>
    <t>Increase in financing of customer</t>
  </si>
  <si>
    <t>Increase in deposits from customers</t>
  </si>
  <si>
    <t>Proceeds from disposal of property, plant and equipment</t>
  </si>
  <si>
    <t xml:space="preserve">Proceeds from partial disposal of subsidiaries, net of cash </t>
  </si>
  <si>
    <t>Dividend received</t>
  </si>
  <si>
    <t xml:space="preserve">Purchase of investment in associated company </t>
  </si>
  <si>
    <t>Proceeds from sale of investments</t>
  </si>
  <si>
    <t>Purchase of investment securities</t>
  </si>
  <si>
    <t>Proceeds from sale of dealing securities</t>
  </si>
  <si>
    <t>Repayment of financing</t>
  </si>
  <si>
    <t>Increase/(Decrease) in deposit &amp; placements of banks &amp; other fin. institutions</t>
  </si>
  <si>
    <t>FOR THE YEAR ENDED 30 JUNE 2003, Continued</t>
  </si>
  <si>
    <t>Accretion of discount less amortisation of premium</t>
  </si>
  <si>
    <t>Decrease/(Increase) in statutory deposit with AGM</t>
  </si>
  <si>
    <t>FOREIGN EXCHANGE DIFFERENCES</t>
  </si>
  <si>
    <t>DILUTION ARISING FROM ISSUANCE OF SHARES IN A SUBSIDIARY</t>
  </si>
  <si>
    <t>Dilution arising from issuance of</t>
  </si>
  <si>
    <t>shares</t>
  </si>
  <si>
    <t>Earning Per Share - fully diluted (sen) *</t>
  </si>
  <si>
    <t xml:space="preserve">* </t>
  </si>
  <si>
    <t xml:space="preserve">No separate disclosure of fully diluted earnings per share has been made for reasons described in </t>
  </si>
  <si>
    <t>note B 13</t>
  </si>
  <si>
    <t>Other receivables</t>
  </si>
  <si>
    <t>Effect of adopting MASB 25</t>
  </si>
  <si>
    <t>- retained profits</t>
  </si>
  <si>
    <t>- transfer to Reserve Fund</t>
  </si>
  <si>
    <t>Obligation on securities sold under repurchase agreement</t>
  </si>
  <si>
    <t>Proceeds from financing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</si>
</sst>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01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0" fillId="0" borderId="10" xfId="37" applyBorder="1" applyAlignment="1">
      <alignment/>
    </xf>
    <xf numFmtId="43" fontId="0" fillId="0" borderId="4" xfId="37" applyBorder="1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43" fontId="0" fillId="0" borderId="11" xfId="37" applyBorder="1" applyAlignment="1">
      <alignment/>
    </xf>
    <xf numFmtId="43" fontId="0" fillId="0" borderId="12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0" fontId="12" fillId="0" borderId="13" xfId="0" applyFont="1" applyBorder="1" applyAlignment="1">
      <alignment/>
    </xf>
    <xf numFmtId="167" fontId="12" fillId="0" borderId="13" xfId="37" applyNumberFormat="1" applyFont="1" applyBorder="1" applyAlignment="1">
      <alignment horizontal="right"/>
    </xf>
    <xf numFmtId="167" fontId="12" fillId="0" borderId="13" xfId="37" applyNumberFormat="1" applyFont="1" applyBorder="1" applyAlignment="1">
      <alignment/>
    </xf>
    <xf numFmtId="167" fontId="12" fillId="0" borderId="10" xfId="37" applyNumberFormat="1" applyFont="1" applyBorder="1" applyAlignment="1">
      <alignment horizontal="right"/>
    </xf>
    <xf numFmtId="167" fontId="12" fillId="0" borderId="10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0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167" fontId="12" fillId="0" borderId="11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11" xfId="37" applyNumberFormat="1" applyFont="1" applyBorder="1" applyAlignment="1">
      <alignment/>
    </xf>
    <xf numFmtId="167" fontId="12" fillId="0" borderId="4" xfId="37" applyNumberFormat="1" applyFont="1" applyBorder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43" fontId="20" fillId="0" borderId="0" xfId="37" applyFont="1" applyAlignment="1">
      <alignment/>
    </xf>
    <xf numFmtId="43" fontId="20" fillId="0" borderId="11" xfId="37" applyFont="1" applyBorder="1" applyAlignment="1">
      <alignment/>
    </xf>
    <xf numFmtId="43" fontId="20" fillId="0" borderId="0" xfId="37" applyFont="1" applyFill="1" applyAlignment="1">
      <alignment/>
    </xf>
    <xf numFmtId="43" fontId="20" fillId="0" borderId="12" xfId="37" applyFont="1" applyBorder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12" fillId="0" borderId="0" xfId="37" applyNumberFormat="1" applyFont="1" applyFill="1" applyAlignment="1">
      <alignment/>
    </xf>
    <xf numFmtId="167" fontId="0" fillId="0" borderId="11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2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2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12" fillId="0" borderId="14" xfId="0" applyFont="1" applyBorder="1" applyAlignment="1">
      <alignment/>
    </xf>
    <xf numFmtId="167" fontId="12" fillId="0" borderId="15" xfId="37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167" fontId="12" fillId="0" borderId="17" xfId="37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167" fontId="12" fillId="0" borderId="19" xfId="37" applyNumberFormat="1" applyFont="1" applyBorder="1" applyAlignment="1">
      <alignment horizontal="right"/>
    </xf>
    <xf numFmtId="0" fontId="0" fillId="0" borderId="0" xfId="37" applyNumberFormat="1" applyFont="1" applyFill="1" applyAlignment="1">
      <alignment horizontal="left"/>
    </xf>
    <xf numFmtId="0" fontId="0" fillId="0" borderId="0" xfId="0" applyAlignment="1" quotePrefix="1">
      <alignment/>
    </xf>
    <xf numFmtId="16" fontId="11" fillId="0" borderId="0" xfId="0" applyNumberFormat="1" applyFont="1" applyAlignment="1" quotePrefix="1">
      <alignment horizontal="center"/>
    </xf>
    <xf numFmtId="37" fontId="12" fillId="0" borderId="0" xfId="37" applyNumberFormat="1" applyFont="1" applyAlignment="1">
      <alignment/>
    </xf>
    <xf numFmtId="37" fontId="12" fillId="0" borderId="11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quotePrefix="1">
      <alignment/>
    </xf>
    <xf numFmtId="0" fontId="12" fillId="0" borderId="11" xfId="0" applyFont="1" applyBorder="1" applyAlignment="1" quotePrefix="1">
      <alignment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104775</xdr:rowOff>
    </xdr:from>
    <xdr:to>
      <xdr:col>9</xdr:col>
      <xdr:colOff>466725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048000" y="866775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</xdr:row>
      <xdr:rowOff>104775</xdr:rowOff>
    </xdr:from>
    <xdr:to>
      <xdr:col>13</xdr:col>
      <xdr:colOff>838200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619750" y="866775"/>
          <a:ext cx="9144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lead-Abacu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IMB%20Holdings\Consol\Dec%2002\Announcement\iNTERIM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al. Sheet"/>
      <sheetName val="CC ST. OF C. IN EQUITY"/>
      <sheetName val="CC CASH FLOW"/>
      <sheetName val="Cash flow"/>
      <sheetName val="Note to the Accounts"/>
      <sheetName val="Sheet1"/>
      <sheetName val="Sheet2"/>
      <sheetName val="Sheet3"/>
    </sheetNames>
    <sheetDataSet>
      <sheetData sheetId="0">
        <row r="24">
          <cell r="L24">
            <v>42756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view="pageBreakPreview" zoomScaleSheetLayoutView="100" workbookViewId="0" topLeftCell="A18">
      <selection activeCell="J34" sqref="J34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1.7109375" style="0" customWidth="1"/>
    <col min="5" max="5" width="9.00390625" style="0" customWidth="1"/>
    <col min="6" max="6" width="2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6" max="16" width="9.8515625" style="0" bestFit="1" customWidth="1"/>
  </cols>
  <sheetData>
    <row r="1" spans="12:14" ht="15.75">
      <c r="L1" s="90" t="s">
        <v>98</v>
      </c>
      <c r="M1" s="90"/>
      <c r="N1" s="90"/>
    </row>
    <row r="2" spans="2:14" ht="20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4" spans="2:14" ht="18">
      <c r="B4" s="94" t="s">
        <v>47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2:14" ht="18">
      <c r="B5" s="94" t="s">
        <v>122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2:14" ht="6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2:14" ht="13.5" thickTop="1">
      <c r="L7" s="96" t="s">
        <v>85</v>
      </c>
      <c r="M7" s="96"/>
      <c r="N7" s="96"/>
    </row>
    <row r="8" spans="6:14" ht="12.75">
      <c r="F8" s="83"/>
      <c r="H8" s="95" t="s">
        <v>48</v>
      </c>
      <c r="I8" s="95"/>
      <c r="J8" s="95"/>
      <c r="L8" s="95" t="s">
        <v>125</v>
      </c>
      <c r="M8" s="95"/>
      <c r="N8" s="95"/>
    </row>
    <row r="9" spans="8:14" ht="13.5" thickBot="1">
      <c r="H9" s="92" t="s">
        <v>124</v>
      </c>
      <c r="I9" s="93"/>
      <c r="J9" s="93"/>
      <c r="K9" s="8"/>
      <c r="L9" s="92" t="s">
        <v>124</v>
      </c>
      <c r="M9" s="93"/>
      <c r="N9" s="93"/>
    </row>
    <row r="10" spans="8:14" ht="12.75">
      <c r="H10" s="5">
        <v>2003</v>
      </c>
      <c r="I10" s="55"/>
      <c r="J10" s="5">
        <v>2002</v>
      </c>
      <c r="K10" s="3"/>
      <c r="L10" s="5">
        <v>2003</v>
      </c>
      <c r="M10" s="3"/>
      <c r="N10" s="3">
        <v>2002</v>
      </c>
    </row>
    <row r="11" spans="8:14" ht="12.75">
      <c r="H11" s="16" t="s">
        <v>49</v>
      </c>
      <c r="I11" s="56"/>
      <c r="J11" s="16" t="s">
        <v>49</v>
      </c>
      <c r="K11" s="16"/>
      <c r="L11" s="16" t="s">
        <v>49</v>
      </c>
      <c r="M11" s="16"/>
      <c r="N11" s="16" t="s">
        <v>49</v>
      </c>
    </row>
    <row r="12" spans="8:14" ht="12.75">
      <c r="H12" s="51"/>
      <c r="I12" s="57"/>
      <c r="J12" s="51"/>
      <c r="N12" s="51"/>
    </row>
    <row r="13" spans="2:17" ht="12.75">
      <c r="B13" t="s">
        <v>71</v>
      </c>
      <c r="D13" s="17"/>
      <c r="E13" s="18"/>
      <c r="H13" s="62">
        <f>+L13-385076</f>
        <v>133170</v>
      </c>
      <c r="I13" s="58"/>
      <c r="J13" s="62">
        <f>+N13-307998</f>
        <v>100591</v>
      </c>
      <c r="K13" s="10"/>
      <c r="L13" s="21">
        <v>518246</v>
      </c>
      <c r="M13" s="10"/>
      <c r="N13" s="62">
        <v>408589</v>
      </c>
      <c r="O13" s="63">
        <f>+(L13-N13)/N13*100</f>
        <v>26.837971653666642</v>
      </c>
      <c r="P13" s="87">
        <f>+L13/1000</f>
        <v>518.246</v>
      </c>
      <c r="Q13" s="87">
        <f>+N13/1000</f>
        <v>408.589</v>
      </c>
    </row>
    <row r="14" spans="8:15" ht="9" customHeight="1">
      <c r="H14" s="62"/>
      <c r="I14" s="58"/>
      <c r="J14" s="62"/>
      <c r="K14" s="10"/>
      <c r="L14" s="10"/>
      <c r="M14" s="10"/>
      <c r="N14" s="62"/>
      <c r="O14" s="63"/>
    </row>
    <row r="15" spans="2:15" ht="12.75">
      <c r="B15" t="s">
        <v>32</v>
      </c>
      <c r="H15" s="62">
        <f>+L15+107565</f>
        <v>-33423</v>
      </c>
      <c r="I15" s="58"/>
      <c r="J15" s="62">
        <f>+N15+98048</f>
        <v>-21971</v>
      </c>
      <c r="K15" s="10"/>
      <c r="L15" s="21">
        <v>-140988</v>
      </c>
      <c r="M15" s="10"/>
      <c r="N15" s="62">
        <v>-120019</v>
      </c>
      <c r="O15" s="63">
        <f>+(L15-N15)/N15*100</f>
        <v>17.471400361609412</v>
      </c>
    </row>
    <row r="16" spans="8:15" ht="9" customHeight="1">
      <c r="H16" s="62"/>
      <c r="I16" s="58"/>
      <c r="J16" s="62"/>
      <c r="K16" s="10"/>
      <c r="L16" s="21"/>
      <c r="M16" s="10"/>
      <c r="N16" s="62"/>
      <c r="O16" s="63"/>
    </row>
    <row r="17" spans="2:15" ht="12.75">
      <c r="B17" t="s">
        <v>33</v>
      </c>
      <c r="H17" s="62">
        <f>+L17+47683</f>
        <v>-5374</v>
      </c>
      <c r="I17" s="58"/>
      <c r="J17" s="62">
        <f>+N17+40442</f>
        <v>-12237</v>
      </c>
      <c r="K17" s="10"/>
      <c r="L17" s="21">
        <v>-53057</v>
      </c>
      <c r="M17" s="10"/>
      <c r="N17" s="62">
        <v>-52679</v>
      </c>
      <c r="O17" s="63">
        <f>+(L17-N17)/N17*100</f>
        <v>0.7175534843106361</v>
      </c>
    </row>
    <row r="18" spans="8:15" ht="9" customHeight="1">
      <c r="H18" s="62"/>
      <c r="I18" s="58"/>
      <c r="J18" s="62"/>
      <c r="K18" s="10"/>
      <c r="L18" s="21"/>
      <c r="M18" s="10"/>
      <c r="N18" s="62"/>
      <c r="O18" s="63"/>
    </row>
    <row r="19" spans="2:16" ht="12.75">
      <c r="B19" t="s">
        <v>44</v>
      </c>
      <c r="H19" s="62">
        <f>+L19+66707</f>
        <v>-10215</v>
      </c>
      <c r="I19" s="58"/>
      <c r="J19" s="62">
        <f>+N19+42136</f>
        <v>-37133</v>
      </c>
      <c r="K19" s="10"/>
      <c r="L19" s="21">
        <v>-76922</v>
      </c>
      <c r="M19" s="10"/>
      <c r="N19" s="62">
        <v>-79269</v>
      </c>
      <c r="O19" s="63">
        <f>+(L19-N19)/N19*100</f>
        <v>-2.9608043497458025</v>
      </c>
      <c r="P19" s="63">
        <f>+L13+L15+L17+L19+L21</f>
        <v>156226</v>
      </c>
    </row>
    <row r="20" spans="8:15" ht="9" customHeight="1">
      <c r="H20" s="62"/>
      <c r="I20" s="58"/>
      <c r="J20" s="62"/>
      <c r="K20" s="10"/>
      <c r="L20" s="21"/>
      <c r="M20" s="10"/>
      <c r="N20" s="62"/>
      <c r="O20" s="63"/>
    </row>
    <row r="21" spans="2:16" ht="12.75">
      <c r="B21" s="82" t="s">
        <v>46</v>
      </c>
      <c r="D21" s="17"/>
      <c r="E21" s="18"/>
      <c r="H21" s="62">
        <f>+L21+70142</f>
        <v>-20911</v>
      </c>
      <c r="I21" s="58"/>
      <c r="J21" s="62">
        <f>+N21+71640</f>
        <v>-4028</v>
      </c>
      <c r="K21" s="10"/>
      <c r="L21" s="21">
        <v>-91053</v>
      </c>
      <c r="M21" s="10"/>
      <c r="N21" s="62">
        <v>-75668</v>
      </c>
      <c r="O21" s="63">
        <f>+(L21-N21)/N21*100</f>
        <v>20.33224084157107</v>
      </c>
      <c r="P21" s="63">
        <f>+H13+H15+H17+H19+H21</f>
        <v>63247</v>
      </c>
    </row>
    <row r="22" spans="8:15" ht="9" customHeight="1">
      <c r="H22" s="69"/>
      <c r="I22" s="59"/>
      <c r="J22" s="69"/>
      <c r="K22" s="19"/>
      <c r="L22" s="40"/>
      <c r="M22" s="19"/>
      <c r="N22" s="69"/>
      <c r="O22" s="63"/>
    </row>
    <row r="23" spans="8:15" ht="9" customHeight="1">
      <c r="H23" s="62"/>
      <c r="I23" s="58"/>
      <c r="J23" s="62"/>
      <c r="K23" s="10"/>
      <c r="L23" s="21"/>
      <c r="M23" s="10"/>
      <c r="N23" s="62"/>
      <c r="O23" s="63"/>
    </row>
    <row r="24" spans="2:16" ht="12.75">
      <c r="B24" t="s">
        <v>76</v>
      </c>
      <c r="H24" s="62">
        <f>SUM(H13:H22)</f>
        <v>63247</v>
      </c>
      <c r="I24" s="58"/>
      <c r="J24" s="62">
        <f>SUM(J13:J22)</f>
        <v>25222</v>
      </c>
      <c r="K24" s="10"/>
      <c r="L24" s="21">
        <f>SUM(L13:L23)</f>
        <v>156226</v>
      </c>
      <c r="M24" s="10"/>
      <c r="N24" s="62">
        <f>SUM(N13:N22)</f>
        <v>80954</v>
      </c>
      <c r="O24" s="63">
        <f>+(L24-N24)/N24*100</f>
        <v>92.98119919954542</v>
      </c>
      <c r="P24" s="63">
        <f>+L24-'[10]P&amp;L'!$L$24</f>
        <v>113470</v>
      </c>
    </row>
    <row r="25" spans="8:15" ht="9" customHeight="1">
      <c r="H25" s="62"/>
      <c r="I25" s="58"/>
      <c r="J25" s="62"/>
      <c r="K25" s="10"/>
      <c r="L25" s="21"/>
      <c r="M25" s="10"/>
      <c r="N25" s="62"/>
      <c r="O25" s="63"/>
    </row>
    <row r="26" spans="2:15" ht="12.75">
      <c r="B26" s="41" t="s">
        <v>34</v>
      </c>
      <c r="C26" s="41"/>
      <c r="D26" s="42"/>
      <c r="E26" s="43"/>
      <c r="F26" s="41"/>
      <c r="G26" s="41"/>
      <c r="H26" s="70">
        <v>0</v>
      </c>
      <c r="I26" s="60"/>
      <c r="J26" s="70">
        <f>+N26+57</f>
        <v>-1407</v>
      </c>
      <c r="K26" s="45"/>
      <c r="L26" s="44">
        <f>-309+309</f>
        <v>0</v>
      </c>
      <c r="M26" s="45"/>
      <c r="N26" s="70">
        <v>-1464</v>
      </c>
      <c r="O26" s="63">
        <f>+(L26-N26)/N26*100</f>
        <v>-100</v>
      </c>
    </row>
    <row r="27" spans="8:15" ht="9" customHeight="1">
      <c r="H27" s="62"/>
      <c r="I27" s="58"/>
      <c r="J27" s="62"/>
      <c r="K27" s="10"/>
      <c r="L27" s="21"/>
      <c r="M27" s="10"/>
      <c r="N27" s="62"/>
      <c r="O27" s="63"/>
    </row>
    <row r="28" spans="2:15" ht="12.75">
      <c r="B28" t="s">
        <v>35</v>
      </c>
      <c r="H28" s="62"/>
      <c r="I28" s="58"/>
      <c r="J28" s="62"/>
      <c r="K28" s="10"/>
      <c r="L28" s="21"/>
      <c r="M28" s="10"/>
      <c r="N28" s="62"/>
      <c r="O28" s="63"/>
    </row>
    <row r="29" spans="3:15" ht="12.75">
      <c r="C29" t="s">
        <v>36</v>
      </c>
      <c r="H29" s="62">
        <f>+L29+664</f>
        <v>-41</v>
      </c>
      <c r="I29" s="58"/>
      <c r="J29" s="62">
        <f>+N29+305</f>
        <v>-585</v>
      </c>
      <c r="K29" s="10"/>
      <c r="L29" s="21">
        <v>-705</v>
      </c>
      <c r="M29" s="10"/>
      <c r="N29" s="62">
        <v>-890</v>
      </c>
      <c r="O29" s="63">
        <f>+(L29-N29)/N29*100</f>
        <v>-20.786516853932586</v>
      </c>
    </row>
    <row r="30" spans="8:15" ht="9" customHeight="1">
      <c r="H30" s="69"/>
      <c r="I30" s="59"/>
      <c r="J30" s="69"/>
      <c r="K30" s="19"/>
      <c r="L30" s="40"/>
      <c r="M30" s="19"/>
      <c r="N30" s="69"/>
      <c r="O30" s="63"/>
    </row>
    <row r="31" spans="8:15" ht="9" customHeight="1">
      <c r="H31" s="62"/>
      <c r="I31" s="58"/>
      <c r="J31" s="62"/>
      <c r="K31" s="10"/>
      <c r="L31" s="21"/>
      <c r="M31" s="10"/>
      <c r="N31" s="62"/>
      <c r="O31" s="63"/>
    </row>
    <row r="32" spans="2:16" ht="12.75">
      <c r="B32" t="s">
        <v>37</v>
      </c>
      <c r="H32" s="62">
        <f>+SUM(H24:H29)</f>
        <v>63206</v>
      </c>
      <c r="I32" s="58"/>
      <c r="J32" s="62">
        <f>+SUM(J24:J29)</f>
        <v>23230</v>
      </c>
      <c r="K32" s="10"/>
      <c r="L32" s="21">
        <f>+SUM(L24:L29)</f>
        <v>155521</v>
      </c>
      <c r="M32" s="10"/>
      <c r="N32" s="62">
        <f>+SUM(N24:N29)</f>
        <v>78600</v>
      </c>
      <c r="O32" s="63">
        <f>+(L32-N32)/N32*100</f>
        <v>97.86386768447836</v>
      </c>
      <c r="P32" s="63">
        <f>+(H32-J32)/J32*100</f>
        <v>172.0878174773999</v>
      </c>
    </row>
    <row r="33" spans="8:15" ht="9" customHeight="1">
      <c r="H33" s="62"/>
      <c r="I33" s="58"/>
      <c r="J33" s="62"/>
      <c r="K33" s="10"/>
      <c r="L33" s="21"/>
      <c r="M33" s="10"/>
      <c r="N33" s="62"/>
      <c r="O33" s="63"/>
    </row>
    <row r="34" spans="2:15" ht="12.75">
      <c r="B34" t="s">
        <v>38</v>
      </c>
      <c r="H34" s="62">
        <f>+L34+29919</f>
        <v>-23095</v>
      </c>
      <c r="I34" s="58"/>
      <c r="J34" s="62">
        <f>+N34+16006</f>
        <v>-20317</v>
      </c>
      <c r="K34" s="10"/>
      <c r="L34" s="21">
        <v>-53014</v>
      </c>
      <c r="M34" s="10"/>
      <c r="N34" s="62">
        <v>-36323</v>
      </c>
      <c r="O34" s="63"/>
    </row>
    <row r="35" spans="8:15" ht="9" customHeight="1">
      <c r="H35" s="62"/>
      <c r="I35" s="58"/>
      <c r="J35" s="62"/>
      <c r="K35" s="10"/>
      <c r="L35" s="21"/>
      <c r="M35" s="10"/>
      <c r="N35" s="62"/>
      <c r="O35" s="63"/>
    </row>
    <row r="36" spans="2:15" ht="12.75">
      <c r="B36" t="s">
        <v>39</v>
      </c>
      <c r="H36" s="62">
        <f>+L36+3757</f>
        <v>-1714</v>
      </c>
      <c r="I36" s="58"/>
      <c r="J36" s="62">
        <f>+N36+2068</f>
        <v>-760</v>
      </c>
      <c r="K36" s="10"/>
      <c r="L36" s="21">
        <v>-5471</v>
      </c>
      <c r="M36" s="10"/>
      <c r="N36" s="62">
        <v>-2828</v>
      </c>
      <c r="O36" s="63"/>
    </row>
    <row r="37" spans="8:15" ht="12.75">
      <c r="H37" s="69"/>
      <c r="I37" s="59"/>
      <c r="J37" s="69"/>
      <c r="K37" s="19"/>
      <c r="L37" s="40"/>
      <c r="M37" s="19"/>
      <c r="N37" s="69"/>
      <c r="O37" s="63"/>
    </row>
    <row r="38" spans="8:15" ht="9" customHeight="1">
      <c r="H38" s="62"/>
      <c r="I38" s="58"/>
      <c r="J38" s="62"/>
      <c r="K38" s="10"/>
      <c r="L38" s="21"/>
      <c r="M38" s="10"/>
      <c r="N38" s="62"/>
      <c r="O38" s="63"/>
    </row>
    <row r="39" spans="2:15" ht="12.75">
      <c r="B39" t="s">
        <v>40</v>
      </c>
      <c r="H39" s="62">
        <f>+SUM(H32:H36)</f>
        <v>38397</v>
      </c>
      <c r="I39" s="58"/>
      <c r="J39" s="62">
        <f>+SUM(J32:J36)</f>
        <v>2153</v>
      </c>
      <c r="K39" s="10"/>
      <c r="L39" s="21">
        <f>+SUM(L32:L36)</f>
        <v>97036</v>
      </c>
      <c r="M39" s="10"/>
      <c r="N39" s="62">
        <f>+SUM(N32:N36)</f>
        <v>39449</v>
      </c>
      <c r="O39" s="63"/>
    </row>
    <row r="40" spans="3:15" ht="12.75">
      <c r="C40" t="s">
        <v>77</v>
      </c>
      <c r="H40" s="62"/>
      <c r="I40" s="58"/>
      <c r="J40" s="62"/>
      <c r="K40" s="10"/>
      <c r="L40" s="21"/>
      <c r="M40" s="10"/>
      <c r="N40" s="62"/>
      <c r="O40" s="63"/>
    </row>
    <row r="41" spans="8:15" ht="9" customHeight="1">
      <c r="H41" s="62"/>
      <c r="I41" s="58"/>
      <c r="J41" s="62"/>
      <c r="K41" s="10"/>
      <c r="L41" s="21"/>
      <c r="M41" s="10"/>
      <c r="N41" s="62"/>
      <c r="O41" s="63"/>
    </row>
    <row r="42" spans="2:15" ht="12.75">
      <c r="B42" t="s">
        <v>41</v>
      </c>
      <c r="H42" s="62">
        <f>+L42+830</f>
        <v>-4019</v>
      </c>
      <c r="I42" s="58"/>
      <c r="J42" s="62">
        <f>+N42+1540</f>
        <v>-185</v>
      </c>
      <c r="K42" s="10"/>
      <c r="L42" s="21">
        <v>-4849</v>
      </c>
      <c r="M42" s="10"/>
      <c r="N42" s="62">
        <v>-1725</v>
      </c>
      <c r="O42" s="63"/>
    </row>
    <row r="43" spans="8:15" ht="9" customHeight="1">
      <c r="H43" s="69"/>
      <c r="I43" s="59"/>
      <c r="J43" s="69"/>
      <c r="K43" s="19"/>
      <c r="L43" s="40"/>
      <c r="M43" s="19"/>
      <c r="N43" s="69"/>
      <c r="O43" s="63"/>
    </row>
    <row r="44" spans="8:15" ht="9" customHeight="1">
      <c r="H44" s="62"/>
      <c r="I44" s="58"/>
      <c r="J44" s="62"/>
      <c r="K44" s="10"/>
      <c r="L44" s="10"/>
      <c r="M44" s="10"/>
      <c r="N44" s="62"/>
      <c r="O44" s="63"/>
    </row>
    <row r="45" spans="2:15" ht="12.75">
      <c r="B45" t="s">
        <v>45</v>
      </c>
      <c r="H45" s="62">
        <f>+SUM(H39:H42)</f>
        <v>34378</v>
      </c>
      <c r="I45" s="58"/>
      <c r="J45" s="62">
        <f>+SUM(J39:J42)</f>
        <v>1968</v>
      </c>
      <c r="K45" s="10"/>
      <c r="L45" s="21">
        <f>+SUM(L39:L42)</f>
        <v>92187</v>
      </c>
      <c r="M45" s="10"/>
      <c r="N45" s="62">
        <f>+SUM(N39:N42)</f>
        <v>37724</v>
      </c>
      <c r="O45" s="63"/>
    </row>
    <row r="46" spans="8:15" ht="9" customHeight="1" thickBot="1">
      <c r="H46" s="73"/>
      <c r="I46" s="61"/>
      <c r="J46" s="73"/>
      <c r="K46" s="20"/>
      <c r="L46" s="20"/>
      <c r="M46" s="20"/>
      <c r="N46" s="71"/>
      <c r="O46" s="63"/>
    </row>
    <row r="47" spans="8:15" ht="9" customHeight="1" thickTop="1">
      <c r="H47" s="64"/>
      <c r="I47" s="58"/>
      <c r="J47" s="64"/>
      <c r="K47" s="10"/>
      <c r="L47" s="10"/>
      <c r="M47" s="10"/>
      <c r="N47" s="64"/>
      <c r="O47" s="63"/>
    </row>
    <row r="48" spans="2:16" ht="12.75">
      <c r="B48" s="2" t="s">
        <v>42</v>
      </c>
      <c r="H48" s="72">
        <f>+H45/562965*100</f>
        <v>6.10659632481593</v>
      </c>
      <c r="I48" s="58"/>
      <c r="J48" s="72">
        <f>+J45/562965*100</f>
        <v>0.34957768244917536</v>
      </c>
      <c r="K48" s="10"/>
      <c r="L48" s="22">
        <f>+L45/562965*100</f>
        <v>16.37526311582425</v>
      </c>
      <c r="M48" s="10"/>
      <c r="N48" s="72">
        <f>+N45/562965*100</f>
        <v>6.700949437354009</v>
      </c>
      <c r="O48" s="14">
        <f>+L48-N48</f>
        <v>9.674313678470241</v>
      </c>
      <c r="P48" s="63">
        <f>+O48/N48*100</f>
        <v>144.37228289682963</v>
      </c>
    </row>
    <row r="49" spans="8:14" ht="12.75">
      <c r="H49" s="10"/>
      <c r="I49" s="10"/>
      <c r="J49" s="10"/>
      <c r="K49" s="10"/>
      <c r="L49" s="10"/>
      <c r="M49" s="10"/>
      <c r="N49" s="64"/>
    </row>
    <row r="50" spans="2:14" ht="12.75">
      <c r="B50" s="2" t="s">
        <v>177</v>
      </c>
      <c r="H50" s="89">
        <v>0</v>
      </c>
      <c r="I50" s="89"/>
      <c r="J50" s="89">
        <v>0</v>
      </c>
      <c r="K50" s="89"/>
      <c r="L50" s="89">
        <v>0</v>
      </c>
      <c r="M50" s="89"/>
      <c r="N50" s="89">
        <v>0</v>
      </c>
    </row>
    <row r="53" spans="2:3" ht="12.75">
      <c r="B53" t="s">
        <v>178</v>
      </c>
      <c r="C53" t="s">
        <v>179</v>
      </c>
    </row>
    <row r="54" ht="12.75">
      <c r="C54" t="s">
        <v>180</v>
      </c>
    </row>
  </sheetData>
  <mergeCells count="9">
    <mergeCell ref="L1:N1"/>
    <mergeCell ref="B2:N2"/>
    <mergeCell ref="H9:J9"/>
    <mergeCell ref="L9:N9"/>
    <mergeCell ref="B4:N4"/>
    <mergeCell ref="B5:N5"/>
    <mergeCell ref="H8:J8"/>
    <mergeCell ref="L8:N8"/>
    <mergeCell ref="L7:N7"/>
  </mergeCells>
  <printOptions horizontalCentered="1"/>
  <pageMargins left="0.75" right="0.72" top="1" bottom="1" header="0.5" footer="0.5"/>
  <pageSetup horizontalDpi="600" verticalDpi="600" orientation="portrait" paperSize="9" r:id="rId1"/>
  <headerFooter alignWithMargins="0">
    <oddFooter>&amp;R&amp;"Times New Roman,Regular"2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1"/>
  <sheetViews>
    <sheetView view="pageBreakPreview" zoomScaleSheetLayoutView="100" workbookViewId="0" topLeftCell="A31">
      <selection activeCell="H61" sqref="H61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140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6:8" ht="15.75">
      <c r="F1" s="90" t="s">
        <v>97</v>
      </c>
      <c r="G1" s="90"/>
      <c r="H1" s="90"/>
    </row>
    <row r="2" spans="2:8" ht="20.25">
      <c r="B2" s="91" t="s">
        <v>0</v>
      </c>
      <c r="C2" s="91"/>
      <c r="D2" s="91"/>
      <c r="E2" s="91"/>
      <c r="F2" s="91"/>
      <c r="G2" s="91"/>
      <c r="H2" s="91"/>
    </row>
    <row r="4" spans="2:8" ht="16.5">
      <c r="B4" s="97" t="s">
        <v>123</v>
      </c>
      <c r="C4" s="97"/>
      <c r="D4" s="97"/>
      <c r="E4" s="97"/>
      <c r="F4" s="97"/>
      <c r="G4" s="97"/>
      <c r="H4" s="97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3" t="s">
        <v>1</v>
      </c>
      <c r="G7" s="2"/>
      <c r="H7" s="3" t="s">
        <v>1</v>
      </c>
    </row>
    <row r="8" spans="4:8" ht="12.75">
      <c r="D8" s="2"/>
      <c r="E8" s="2"/>
      <c r="F8" s="4" t="s">
        <v>128</v>
      </c>
      <c r="G8" s="2"/>
      <c r="H8" s="4" t="s">
        <v>2</v>
      </c>
    </row>
    <row r="9" spans="2:8" ht="13.5" thickBot="1">
      <c r="B9" s="6" t="s">
        <v>3</v>
      </c>
      <c r="D9" s="3"/>
      <c r="E9" s="2"/>
      <c r="F9" s="7" t="s">
        <v>72</v>
      </c>
      <c r="G9" s="8"/>
      <c r="H9" s="7" t="s">
        <v>72</v>
      </c>
    </row>
    <row r="10" ht="12.75">
      <c r="D10" s="9"/>
    </row>
    <row r="11" spans="2:8" ht="12.75">
      <c r="B11" t="s">
        <v>4</v>
      </c>
      <c r="D11" s="9"/>
      <c r="F11" s="62">
        <v>396338</v>
      </c>
      <c r="G11" s="10"/>
      <c r="H11" s="21">
        <v>465217</v>
      </c>
    </row>
    <row r="12" spans="2:8" ht="12.75">
      <c r="B12" t="s">
        <v>5</v>
      </c>
      <c r="D12" s="9"/>
      <c r="F12" s="62">
        <v>2465595</v>
      </c>
      <c r="G12" s="10"/>
      <c r="H12" s="21">
        <v>3210704</v>
      </c>
    </row>
    <row r="13" spans="2:8" ht="12.75">
      <c r="B13" t="s">
        <v>6</v>
      </c>
      <c r="D13" s="9"/>
      <c r="F13" s="62">
        <v>2618794</v>
      </c>
      <c r="G13" s="10"/>
      <c r="H13" s="21">
        <v>1984514</v>
      </c>
    </row>
    <row r="14" spans="2:8" ht="12.75">
      <c r="B14" t="s">
        <v>7</v>
      </c>
      <c r="D14" s="9"/>
      <c r="F14" s="62">
        <v>2812718</v>
      </c>
      <c r="G14" s="10"/>
      <c r="H14" s="21">
        <v>2449294</v>
      </c>
    </row>
    <row r="15" spans="2:8" ht="12.75">
      <c r="B15" t="s">
        <v>8</v>
      </c>
      <c r="D15" s="9"/>
      <c r="F15" s="62">
        <v>7868682</v>
      </c>
      <c r="G15" s="10"/>
      <c r="H15" s="21">
        <v>6819844</v>
      </c>
    </row>
    <row r="16" spans="2:8" ht="12.75">
      <c r="B16" t="s">
        <v>11</v>
      </c>
      <c r="D16" s="9"/>
      <c r="F16" s="62">
        <v>8789</v>
      </c>
      <c r="G16" s="10"/>
      <c r="H16" s="21">
        <v>11052</v>
      </c>
    </row>
    <row r="17" spans="2:8" ht="12.75">
      <c r="B17" t="s">
        <v>181</v>
      </c>
      <c r="D17" s="9"/>
      <c r="F17" s="62">
        <v>291723</v>
      </c>
      <c r="G17" s="10"/>
      <c r="H17" s="21">
        <v>156265</v>
      </c>
    </row>
    <row r="18" spans="2:8" ht="12.75">
      <c r="B18" t="s">
        <v>73</v>
      </c>
      <c r="D18" s="9"/>
      <c r="F18" s="62">
        <v>984</v>
      </c>
      <c r="G18" s="10"/>
      <c r="H18" s="21">
        <v>1493</v>
      </c>
    </row>
    <row r="19" spans="2:8" ht="12.75" hidden="1">
      <c r="B19" t="s">
        <v>74</v>
      </c>
      <c r="D19" s="9"/>
      <c r="F19" s="62">
        <v>0</v>
      </c>
      <c r="G19" s="10"/>
      <c r="H19" s="21">
        <v>0</v>
      </c>
    </row>
    <row r="20" spans="2:8" ht="12.75">
      <c r="B20" t="s">
        <v>9</v>
      </c>
      <c r="D20" s="9"/>
      <c r="F20" s="62">
        <v>390269</v>
      </c>
      <c r="G20" s="10"/>
      <c r="H20" s="21">
        <v>337735</v>
      </c>
    </row>
    <row r="21" spans="2:8" ht="12.75">
      <c r="B21" t="s">
        <v>10</v>
      </c>
      <c r="D21" s="9"/>
      <c r="F21" s="62">
        <v>103</v>
      </c>
      <c r="G21" s="10"/>
      <c r="H21" s="21">
        <v>100</v>
      </c>
    </row>
    <row r="22" spans="2:8" ht="12.75">
      <c r="B22" t="s">
        <v>127</v>
      </c>
      <c r="D22" s="9"/>
      <c r="F22" s="62">
        <v>259429</v>
      </c>
      <c r="G22" s="10"/>
      <c r="H22" s="21">
        <v>279614</v>
      </c>
    </row>
    <row r="23" spans="4:8" ht="6" customHeight="1">
      <c r="D23" s="9"/>
      <c r="F23" s="21"/>
      <c r="G23" s="10"/>
      <c r="H23" s="21"/>
    </row>
    <row r="24" spans="2:10" ht="13.5" thickBot="1">
      <c r="B24" s="2" t="s">
        <v>12</v>
      </c>
      <c r="D24" s="9"/>
      <c r="F24" s="37">
        <f>+SUM(F11:F22)</f>
        <v>17113424</v>
      </c>
      <c r="G24" s="11"/>
      <c r="H24" s="37">
        <f>+SUM(H11:H22)</f>
        <v>15715832</v>
      </c>
      <c r="I24" s="75">
        <f>+(F24-H24)/H24*100</f>
        <v>8.8928922121336</v>
      </c>
      <c r="J24" s="74">
        <v>13912241</v>
      </c>
    </row>
    <row r="25" spans="4:10" ht="12.75">
      <c r="D25" s="9"/>
      <c r="F25" s="10"/>
      <c r="G25" s="10"/>
      <c r="H25" s="10"/>
      <c r="J25" s="74"/>
    </row>
    <row r="26" spans="2:10" ht="12.75">
      <c r="B26" s="6" t="s">
        <v>13</v>
      </c>
      <c r="D26" s="9"/>
      <c r="F26" s="10"/>
      <c r="G26" s="10"/>
      <c r="H26" s="10"/>
      <c r="J26" s="74"/>
    </row>
    <row r="27" spans="4:10" ht="12.75">
      <c r="D27" s="9"/>
      <c r="F27" s="64"/>
      <c r="G27" s="10"/>
      <c r="H27" s="10"/>
      <c r="J27" s="74"/>
    </row>
    <row r="28" spans="2:10" ht="12.75">
      <c r="B28" t="s">
        <v>14</v>
      </c>
      <c r="D28" s="9"/>
      <c r="F28" s="62">
        <v>12442128</v>
      </c>
      <c r="G28" s="10"/>
      <c r="H28" s="21">
        <v>11036657</v>
      </c>
      <c r="J28" s="74"/>
    </row>
    <row r="29" spans="2:10" ht="12.75">
      <c r="B29" t="s">
        <v>15</v>
      </c>
      <c r="D29" s="9"/>
      <c r="F29" s="62">
        <v>786926</v>
      </c>
      <c r="G29" s="10"/>
      <c r="H29" s="21">
        <v>1481370</v>
      </c>
      <c r="J29" s="74"/>
    </row>
    <row r="30" spans="2:10" ht="12.75" hidden="1">
      <c r="B30" t="s">
        <v>126</v>
      </c>
      <c r="D30" s="9"/>
      <c r="F30" s="62">
        <v>0</v>
      </c>
      <c r="G30" s="10"/>
      <c r="H30" s="21">
        <v>0</v>
      </c>
      <c r="J30" s="74"/>
    </row>
    <row r="31" spans="2:10" ht="12.75">
      <c r="B31" t="s">
        <v>126</v>
      </c>
      <c r="D31" s="9"/>
      <c r="F31" s="62">
        <v>191900</v>
      </c>
      <c r="G31" s="10"/>
      <c r="H31" s="21">
        <v>17100</v>
      </c>
      <c r="J31" s="74"/>
    </row>
    <row r="32" spans="2:10" ht="12.75">
      <c r="B32" t="s">
        <v>16</v>
      </c>
      <c r="D32" s="9"/>
      <c r="F32" s="62">
        <v>73973</v>
      </c>
      <c r="G32" s="10"/>
      <c r="H32" s="21">
        <v>65820</v>
      </c>
      <c r="J32" s="74"/>
    </row>
    <row r="33" spans="2:10" ht="12.75">
      <c r="B33" t="s">
        <v>75</v>
      </c>
      <c r="D33" s="9"/>
      <c r="F33" s="62">
        <v>426102</v>
      </c>
      <c r="G33" s="10"/>
      <c r="H33" s="21">
        <v>341351</v>
      </c>
      <c r="J33" s="74"/>
    </row>
    <row r="34" spans="2:10" ht="12.75">
      <c r="B34" s="2" t="s">
        <v>17</v>
      </c>
      <c r="D34" s="9"/>
      <c r="F34" s="65">
        <f>SUM(F28:F33)</f>
        <v>13921029</v>
      </c>
      <c r="G34" s="12"/>
      <c r="H34" s="38">
        <f>+SUM(H28:H33)</f>
        <v>12942298</v>
      </c>
      <c r="J34" s="74"/>
    </row>
    <row r="35" spans="4:10" ht="12.75">
      <c r="D35" s="9"/>
      <c r="F35" s="62"/>
      <c r="G35" s="10"/>
      <c r="H35" s="21"/>
      <c r="J35" s="74"/>
    </row>
    <row r="36" spans="2:10" ht="12.75">
      <c r="B36" t="s">
        <v>18</v>
      </c>
      <c r="D36" s="9"/>
      <c r="F36" s="62">
        <v>562965</v>
      </c>
      <c r="G36" s="10"/>
      <c r="H36" s="21">
        <v>562965</v>
      </c>
      <c r="J36" s="74"/>
    </row>
    <row r="37" spans="2:10" ht="12.75">
      <c r="B37" t="s">
        <v>19</v>
      </c>
      <c r="D37" s="9"/>
      <c r="F37" s="62">
        <v>970049</v>
      </c>
      <c r="G37" s="10"/>
      <c r="H37" s="21">
        <v>895830</v>
      </c>
      <c r="J37" s="74"/>
    </row>
    <row r="38" spans="2:10" ht="12.75">
      <c r="B38" s="2" t="s">
        <v>20</v>
      </c>
      <c r="D38" s="9"/>
      <c r="F38" s="38">
        <f>+SUM(F36:F37)</f>
        <v>1533014</v>
      </c>
      <c r="G38" s="12"/>
      <c r="H38" s="38">
        <f>+SUM(H36:H37)</f>
        <v>1458795</v>
      </c>
      <c r="I38" s="75">
        <f>+(F38-H38)/H38*100</f>
        <v>5.08769223914258</v>
      </c>
      <c r="J38" s="74">
        <v>1458214</v>
      </c>
    </row>
    <row r="39" spans="4:8" ht="12.75">
      <c r="D39" s="9"/>
      <c r="F39" s="10"/>
      <c r="G39" s="10"/>
      <c r="H39" s="21"/>
    </row>
    <row r="40" spans="2:8" ht="12.75">
      <c r="B40" t="s">
        <v>21</v>
      </c>
      <c r="D40" s="9"/>
      <c r="F40" s="21">
        <v>1354271</v>
      </c>
      <c r="G40" s="10"/>
      <c r="H40" s="21">
        <v>1101224</v>
      </c>
    </row>
    <row r="41" spans="2:8" ht="12.75">
      <c r="B41" t="s">
        <v>22</v>
      </c>
      <c r="D41" s="9"/>
      <c r="F41" s="21">
        <v>132678</v>
      </c>
      <c r="G41" s="10"/>
      <c r="H41" s="21">
        <v>108822</v>
      </c>
    </row>
    <row r="42" spans="2:8" ht="12.75">
      <c r="B42" t="s">
        <v>23</v>
      </c>
      <c r="D42" s="9"/>
      <c r="F42" s="21">
        <v>80896</v>
      </c>
      <c r="G42" s="10"/>
      <c r="H42" s="21">
        <v>60491</v>
      </c>
    </row>
    <row r="43" spans="2:8" ht="12.75">
      <c r="B43" t="s">
        <v>24</v>
      </c>
      <c r="D43" s="9"/>
      <c r="F43" s="21">
        <v>1854</v>
      </c>
      <c r="G43" s="10"/>
      <c r="H43" s="21">
        <v>424</v>
      </c>
    </row>
    <row r="44" spans="2:8" ht="12.75">
      <c r="B44" t="s">
        <v>25</v>
      </c>
      <c r="D44" s="9"/>
      <c r="F44" s="21">
        <v>1545</v>
      </c>
      <c r="G44" s="10"/>
      <c r="H44" s="21">
        <v>1829</v>
      </c>
    </row>
    <row r="45" spans="2:8" ht="12.75">
      <c r="B45" t="s">
        <v>26</v>
      </c>
      <c r="D45" s="9"/>
      <c r="F45" s="21">
        <v>56</v>
      </c>
      <c r="G45" s="10"/>
      <c r="H45" s="21">
        <v>267</v>
      </c>
    </row>
    <row r="46" spans="2:8" ht="12.75">
      <c r="B46" s="2" t="s">
        <v>27</v>
      </c>
      <c r="D46" s="9"/>
      <c r="F46" s="38">
        <f>+SUM(F40:F45)</f>
        <v>1571300</v>
      </c>
      <c r="G46" s="12"/>
      <c r="H46" s="38">
        <f>+SUM(H40:H45)</f>
        <v>1273057</v>
      </c>
    </row>
    <row r="47" spans="4:8" ht="12.75">
      <c r="D47" s="9"/>
      <c r="F47" s="10"/>
      <c r="G47" s="10"/>
      <c r="H47" s="21"/>
    </row>
    <row r="48" spans="2:8" ht="12.75">
      <c r="B48" s="2" t="s">
        <v>28</v>
      </c>
      <c r="D48" s="9"/>
      <c r="F48" s="21">
        <v>88081</v>
      </c>
      <c r="G48" s="10"/>
      <c r="H48" s="21">
        <v>41682</v>
      </c>
    </row>
    <row r="49" spans="4:8" ht="12.75">
      <c r="D49" s="9"/>
      <c r="F49" s="10"/>
      <c r="G49" s="10"/>
      <c r="H49" s="21"/>
    </row>
    <row r="50" spans="2:8" ht="13.5" thickBot="1">
      <c r="B50" s="2" t="s">
        <v>29</v>
      </c>
      <c r="D50" s="9"/>
      <c r="F50" s="37">
        <f>+F48+F46+F38+F34</f>
        <v>17113424</v>
      </c>
      <c r="G50" s="11"/>
      <c r="H50" s="37">
        <f>+H48+H46+H38+H34</f>
        <v>15715832</v>
      </c>
    </row>
    <row r="51" spans="4:8" ht="12.75">
      <c r="D51" s="9"/>
      <c r="F51" s="10"/>
      <c r="G51" s="10"/>
      <c r="H51" s="10"/>
    </row>
    <row r="52" spans="2:8" ht="12.75">
      <c r="B52" s="6" t="s">
        <v>30</v>
      </c>
      <c r="D52" s="9"/>
      <c r="F52" s="46">
        <v>3173512</v>
      </c>
      <c r="G52" s="13"/>
      <c r="H52" s="46">
        <v>2282389</v>
      </c>
    </row>
    <row r="53" spans="4:8" ht="12.75">
      <c r="D53" s="9"/>
      <c r="F53" s="10"/>
      <c r="G53" s="10"/>
      <c r="H53" s="10"/>
    </row>
    <row r="54" spans="2:10" ht="12.75">
      <c r="B54" t="s">
        <v>31</v>
      </c>
      <c r="D54" s="9"/>
      <c r="F54" s="39">
        <f>F38/F36</f>
        <v>2.7231071203360777</v>
      </c>
      <c r="G54" s="13"/>
      <c r="H54" s="39">
        <f>H38/H36</f>
        <v>2.5912712157949427</v>
      </c>
      <c r="I54" s="75">
        <f>+(F54-H54)/H54*100</f>
        <v>5.087692239142586</v>
      </c>
      <c r="J54">
        <v>2.59</v>
      </c>
    </row>
    <row r="55" spans="4:8" ht="12.75">
      <c r="D55" s="9"/>
      <c r="F55" s="10"/>
      <c r="G55" s="10"/>
      <c r="H55" s="10"/>
    </row>
    <row r="56" spans="4:8" ht="12.75">
      <c r="D56" s="9"/>
      <c r="F56" s="10"/>
      <c r="G56" s="10"/>
      <c r="H56" s="10"/>
    </row>
    <row r="57" spans="4:8" ht="12.75">
      <c r="D57" s="9"/>
      <c r="F57" s="10"/>
      <c r="G57" s="10"/>
      <c r="H57" s="10"/>
    </row>
    <row r="58" spans="6:8" ht="12.75">
      <c r="F58" s="10"/>
      <c r="G58" s="10"/>
      <c r="H58" s="10"/>
    </row>
    <row r="59" spans="6:8" ht="12.75">
      <c r="F59" s="22">
        <f>+F50-F24</f>
        <v>0</v>
      </c>
      <c r="G59" s="10"/>
      <c r="H59" s="10">
        <f>+H50-H24</f>
        <v>0</v>
      </c>
    </row>
    <row r="60" spans="6:8" ht="12.75">
      <c r="F60" s="10"/>
      <c r="G60" s="10"/>
      <c r="H60" s="10"/>
    </row>
    <row r="61" ht="12.75">
      <c r="F61" s="14"/>
    </row>
  </sheetData>
  <mergeCells count="3">
    <mergeCell ref="B4:H4"/>
    <mergeCell ref="B2:H2"/>
    <mergeCell ref="F1:H1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90" zoomScaleNormal="90" zoomScaleSheetLayoutView="90" workbookViewId="0" topLeftCell="C8">
      <selection activeCell="F22" sqref="F22"/>
    </sheetView>
  </sheetViews>
  <sheetFormatPr defaultColWidth="9.140625" defaultRowHeight="12.75"/>
  <cols>
    <col min="1" max="1" width="2.140625" style="29" customWidth="1"/>
    <col min="2" max="3" width="9.140625" style="29" customWidth="1"/>
    <col min="4" max="4" width="9.57421875" style="29" customWidth="1"/>
    <col min="5" max="5" width="1.7109375" style="29" customWidth="1"/>
    <col min="6" max="6" width="11.7109375" style="30" customWidth="1"/>
    <col min="7" max="7" width="1.7109375" style="29" customWidth="1"/>
    <col min="8" max="8" width="11.7109375" style="30" customWidth="1"/>
    <col min="9" max="9" width="1.7109375" style="29" customWidth="1"/>
    <col min="10" max="10" width="11.7109375" style="30" customWidth="1"/>
    <col min="11" max="11" width="1.7109375" style="29" customWidth="1"/>
    <col min="12" max="12" width="11.7109375" style="30" customWidth="1"/>
    <col min="13" max="13" width="1.7109375" style="29" customWidth="1"/>
    <col min="14" max="14" width="12.8515625" style="29" customWidth="1"/>
    <col min="15" max="15" width="1.7109375" style="29" customWidth="1"/>
    <col min="16" max="16" width="11.7109375" style="30" hidden="1" customWidth="1"/>
    <col min="17" max="17" width="1.7109375" style="29" hidden="1" customWidth="1"/>
    <col min="18" max="18" width="11.7109375" style="30" customWidth="1"/>
    <col min="19" max="19" width="1.7109375" style="29" customWidth="1"/>
    <col min="20" max="20" width="15.8515625" style="30" bestFit="1" customWidth="1"/>
    <col min="21" max="16384" width="9.140625" style="29" customWidth="1"/>
  </cols>
  <sheetData>
    <row r="1" ht="15.75">
      <c r="T1" s="32" t="s">
        <v>114</v>
      </c>
    </row>
    <row r="2" spans="1:20" ht="15.75">
      <c r="A2" s="98" t="s">
        <v>50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5.75">
      <c r="A3" s="98" t="s">
        <v>132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5" spans="10:18" ht="15.75">
      <c r="J5" s="31"/>
      <c r="L5" s="32" t="s">
        <v>51</v>
      </c>
      <c r="R5" s="33" t="s">
        <v>52</v>
      </c>
    </row>
    <row r="6" ht="15.75">
      <c r="L6" s="32" t="s">
        <v>53</v>
      </c>
    </row>
    <row r="7" spans="6:20" ht="15.75">
      <c r="F7" s="32"/>
      <c r="G7" s="34"/>
      <c r="H7" s="32"/>
      <c r="I7" s="34"/>
      <c r="J7" s="32"/>
      <c r="K7" s="34"/>
      <c r="L7" s="32" t="s">
        <v>54</v>
      </c>
      <c r="M7" s="34"/>
      <c r="N7" s="34"/>
      <c r="O7" s="34"/>
      <c r="P7" s="32" t="s">
        <v>78</v>
      </c>
      <c r="Q7" s="34"/>
      <c r="R7" s="32"/>
      <c r="S7" s="34"/>
      <c r="T7" s="32"/>
    </row>
    <row r="8" spans="6:20" ht="15.75">
      <c r="F8" s="32" t="s">
        <v>55</v>
      </c>
      <c r="G8" s="34"/>
      <c r="H8" s="32" t="s">
        <v>56</v>
      </c>
      <c r="I8" s="34"/>
      <c r="J8" s="32" t="s">
        <v>57</v>
      </c>
      <c r="K8" s="34"/>
      <c r="L8" s="32" t="s">
        <v>58</v>
      </c>
      <c r="M8" s="34"/>
      <c r="N8" s="32" t="s">
        <v>59</v>
      </c>
      <c r="O8" s="34"/>
      <c r="P8" s="32" t="s">
        <v>79</v>
      </c>
      <c r="Q8" s="34"/>
      <c r="R8" s="32" t="s">
        <v>60</v>
      </c>
      <c r="S8" s="34"/>
      <c r="T8" s="32"/>
    </row>
    <row r="9" spans="6:20" ht="15.75">
      <c r="F9" s="32" t="s">
        <v>59</v>
      </c>
      <c r="G9" s="34"/>
      <c r="H9" s="32" t="s">
        <v>61</v>
      </c>
      <c r="I9" s="34"/>
      <c r="J9" s="28" t="s">
        <v>62</v>
      </c>
      <c r="K9" s="34"/>
      <c r="L9" s="32" t="s">
        <v>57</v>
      </c>
      <c r="M9" s="34"/>
      <c r="N9" s="32" t="s">
        <v>57</v>
      </c>
      <c r="O9" s="34"/>
      <c r="P9" s="32" t="s">
        <v>57</v>
      </c>
      <c r="Q9" s="34"/>
      <c r="R9" s="32" t="s">
        <v>63</v>
      </c>
      <c r="S9" s="34"/>
      <c r="T9" s="32" t="s">
        <v>64</v>
      </c>
    </row>
    <row r="10" spans="1:20" ht="15.75">
      <c r="A10" s="34" t="s">
        <v>65</v>
      </c>
      <c r="F10" s="32" t="s">
        <v>49</v>
      </c>
      <c r="G10" s="34"/>
      <c r="H10" s="32" t="s">
        <v>49</v>
      </c>
      <c r="I10" s="34"/>
      <c r="J10" s="32" t="s">
        <v>49</v>
      </c>
      <c r="K10" s="34"/>
      <c r="L10" s="32" t="s">
        <v>49</v>
      </c>
      <c r="M10" s="34"/>
      <c r="N10" s="32" t="s">
        <v>49</v>
      </c>
      <c r="O10" s="34"/>
      <c r="P10" s="32" t="s">
        <v>49</v>
      </c>
      <c r="Q10" s="34"/>
      <c r="R10" s="32" t="s">
        <v>49</v>
      </c>
      <c r="S10" s="34"/>
      <c r="T10" s="32" t="s">
        <v>49</v>
      </c>
    </row>
    <row r="11" ht="15.75">
      <c r="N11" s="30"/>
    </row>
    <row r="12" spans="1:20" ht="15.75">
      <c r="A12" s="48" t="s">
        <v>66</v>
      </c>
      <c r="F12" s="35">
        <v>562965</v>
      </c>
      <c r="G12" s="36"/>
      <c r="H12" s="35">
        <v>595505</v>
      </c>
      <c r="I12" s="36"/>
      <c r="J12" s="35">
        <v>124814</v>
      </c>
      <c r="K12" s="36"/>
      <c r="L12" s="35">
        <v>4329</v>
      </c>
      <c r="M12" s="36"/>
      <c r="N12" s="35">
        <v>7998</v>
      </c>
      <c r="O12" s="36"/>
      <c r="P12" s="35">
        <v>0</v>
      </c>
      <c r="Q12" s="36"/>
      <c r="R12" s="35">
        <v>163184</v>
      </c>
      <c r="S12" s="36"/>
      <c r="T12" s="50">
        <f>SUM(F12:R12)</f>
        <v>1458795</v>
      </c>
    </row>
    <row r="13" spans="1:20" ht="15.75">
      <c r="A13" s="47" t="s">
        <v>67</v>
      </c>
      <c r="B13" s="23"/>
      <c r="C13" s="23"/>
      <c r="D13" s="23"/>
      <c r="E13" s="23"/>
      <c r="F13" s="24">
        <v>0</v>
      </c>
      <c r="G13" s="25"/>
      <c r="H13" s="24">
        <v>0</v>
      </c>
      <c r="I13" s="25"/>
      <c r="J13" s="24">
        <v>0</v>
      </c>
      <c r="K13" s="25"/>
      <c r="L13" s="24">
        <v>585</v>
      </c>
      <c r="M13" s="25"/>
      <c r="N13" s="24">
        <v>0</v>
      </c>
      <c r="O13" s="25"/>
      <c r="P13" s="24">
        <v>0</v>
      </c>
      <c r="Q13" s="25"/>
      <c r="R13" s="24">
        <v>0</v>
      </c>
      <c r="S13" s="25"/>
      <c r="T13" s="49">
        <f>SUM(F13:R13)</f>
        <v>585</v>
      </c>
    </row>
    <row r="14" spans="1:20" ht="15.75">
      <c r="A14" s="76" t="s">
        <v>112</v>
      </c>
      <c r="B14" s="23"/>
      <c r="C14" s="23"/>
      <c r="D14" s="23"/>
      <c r="E14" s="23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77"/>
    </row>
    <row r="15" spans="1:20" ht="15.75">
      <c r="A15" s="78"/>
      <c r="B15" s="47" t="s">
        <v>111</v>
      </c>
      <c r="C15" s="47"/>
      <c r="D15" s="47"/>
      <c r="E15" s="47"/>
      <c r="F15" s="49">
        <v>0</v>
      </c>
      <c r="G15" s="66"/>
      <c r="H15" s="49">
        <v>0</v>
      </c>
      <c r="I15" s="66"/>
      <c r="J15" s="49">
        <v>0</v>
      </c>
      <c r="K15" s="66"/>
      <c r="L15" s="49">
        <v>585</v>
      </c>
      <c r="M15" s="66"/>
      <c r="N15" s="49">
        <v>0</v>
      </c>
      <c r="O15" s="66"/>
      <c r="P15" s="49">
        <v>0</v>
      </c>
      <c r="Q15" s="66"/>
      <c r="R15" s="49">
        <v>0</v>
      </c>
      <c r="S15" s="66"/>
      <c r="T15" s="79">
        <f>SUM(F15:R15)</f>
        <v>585</v>
      </c>
    </row>
    <row r="16" spans="1:20" ht="15.75">
      <c r="A16" s="80" t="s">
        <v>120</v>
      </c>
      <c r="B16" s="48"/>
      <c r="C16" s="48"/>
      <c r="D16" s="48"/>
      <c r="E16" s="48"/>
      <c r="F16" s="50">
        <v>0</v>
      </c>
      <c r="G16" s="52"/>
      <c r="H16" s="50">
        <v>0</v>
      </c>
      <c r="I16" s="52"/>
      <c r="J16" s="50">
        <v>0</v>
      </c>
      <c r="K16" s="52"/>
      <c r="L16" s="50">
        <v>0</v>
      </c>
      <c r="M16" s="52"/>
      <c r="N16" s="50">
        <v>0</v>
      </c>
      <c r="O16" s="52"/>
      <c r="P16" s="50">
        <v>0</v>
      </c>
      <c r="Q16" s="52"/>
      <c r="R16" s="50">
        <f>+'P&amp;L'!L45</f>
        <v>92187</v>
      </c>
      <c r="S16" s="52"/>
      <c r="T16" s="81">
        <f>SUM(F16:R16)</f>
        <v>92187</v>
      </c>
    </row>
    <row r="17" spans="1:20" ht="15.75">
      <c r="A17" s="29" t="s">
        <v>113</v>
      </c>
      <c r="F17" s="35">
        <v>0</v>
      </c>
      <c r="G17" s="36"/>
      <c r="H17" s="35">
        <v>0</v>
      </c>
      <c r="I17" s="36"/>
      <c r="J17" s="35">
        <v>0</v>
      </c>
      <c r="K17" s="36"/>
      <c r="L17" s="35">
        <v>0</v>
      </c>
      <c r="M17" s="36"/>
      <c r="N17" s="35">
        <v>0</v>
      </c>
      <c r="O17" s="36"/>
      <c r="P17" s="35">
        <v>0</v>
      </c>
      <c r="Q17" s="36"/>
      <c r="R17" s="35">
        <v>0</v>
      </c>
      <c r="S17" s="36"/>
      <c r="T17" s="35">
        <f>SUM(F17:R17)</f>
        <v>0</v>
      </c>
    </row>
    <row r="18" spans="1:20" ht="15.75">
      <c r="A18" s="29" t="s">
        <v>138</v>
      </c>
      <c r="F18" s="35">
        <v>0</v>
      </c>
      <c r="G18" s="36"/>
      <c r="H18" s="35">
        <v>0</v>
      </c>
      <c r="I18" s="36"/>
      <c r="J18" s="35">
        <v>39105</v>
      </c>
      <c r="K18" s="36"/>
      <c r="L18" s="35">
        <v>0</v>
      </c>
      <c r="M18" s="36"/>
      <c r="N18" s="35">
        <v>0</v>
      </c>
      <c r="O18" s="36"/>
      <c r="P18" s="35">
        <v>0</v>
      </c>
      <c r="Q18" s="36"/>
      <c r="R18" s="35">
        <v>-39105</v>
      </c>
      <c r="S18" s="36"/>
      <c r="T18" s="35">
        <f>SUM(F18:R18)</f>
        <v>0</v>
      </c>
    </row>
    <row r="19" spans="1:20" ht="15.75">
      <c r="A19" s="29" t="s">
        <v>70</v>
      </c>
      <c r="F19" s="35">
        <v>0</v>
      </c>
      <c r="G19" s="36"/>
      <c r="H19" s="35">
        <v>0</v>
      </c>
      <c r="I19" s="36"/>
      <c r="J19" s="35">
        <v>0</v>
      </c>
      <c r="K19" s="36"/>
      <c r="L19" s="35">
        <v>0</v>
      </c>
      <c r="M19" s="36"/>
      <c r="N19" s="35">
        <v>0</v>
      </c>
      <c r="O19" s="36"/>
      <c r="P19" s="35">
        <v>0</v>
      </c>
      <c r="Q19" s="36"/>
      <c r="R19" s="35">
        <v>-20267</v>
      </c>
      <c r="S19" s="36"/>
      <c r="T19" s="35">
        <f>SUM(F19:R19)</f>
        <v>-20267</v>
      </c>
    </row>
    <row r="20" spans="1:20" ht="15.75">
      <c r="A20" s="29" t="s">
        <v>175</v>
      </c>
      <c r="F20" s="35"/>
      <c r="G20" s="36"/>
      <c r="H20" s="35"/>
      <c r="I20" s="36"/>
      <c r="J20" s="35"/>
      <c r="K20" s="36"/>
      <c r="L20" s="35"/>
      <c r="M20" s="36"/>
      <c r="N20" s="35"/>
      <c r="O20" s="36"/>
      <c r="P20" s="35"/>
      <c r="Q20" s="36"/>
      <c r="R20" s="35"/>
      <c r="S20" s="36"/>
      <c r="T20" s="35"/>
    </row>
    <row r="21" spans="2:20" ht="15.75">
      <c r="B21" s="29" t="s">
        <v>176</v>
      </c>
      <c r="F21" s="35"/>
      <c r="G21" s="36"/>
      <c r="H21" s="35"/>
      <c r="I21" s="36"/>
      <c r="J21" s="35"/>
      <c r="K21" s="36"/>
      <c r="L21" s="35"/>
      <c r="M21" s="36"/>
      <c r="N21" s="35">
        <v>1714</v>
      </c>
      <c r="O21" s="36"/>
      <c r="P21" s="35"/>
      <c r="Q21" s="36"/>
      <c r="R21" s="35"/>
      <c r="S21" s="36"/>
      <c r="T21" s="35">
        <f>SUM(F21:R21)</f>
        <v>1714</v>
      </c>
    </row>
    <row r="22" spans="1:20" ht="16.5" thickBot="1">
      <c r="A22" s="29" t="s">
        <v>129</v>
      </c>
      <c r="F22" s="26">
        <f>SUM(F12:F20)</f>
        <v>562965</v>
      </c>
      <c r="G22" s="27"/>
      <c r="H22" s="26">
        <f>SUM(H12:H20)</f>
        <v>595505</v>
      </c>
      <c r="I22" s="27"/>
      <c r="J22" s="26">
        <f>SUM(J12:J20)</f>
        <v>163919</v>
      </c>
      <c r="K22" s="27"/>
      <c r="L22" s="26">
        <f>SUM(L12:L13)</f>
        <v>4914</v>
      </c>
      <c r="M22" s="27"/>
      <c r="N22" s="26">
        <f>SUM(N12:N13,N16:N21)</f>
        <v>9712</v>
      </c>
      <c r="O22" s="27"/>
      <c r="P22" s="26">
        <f>SUM(P12:P19)</f>
        <v>0</v>
      </c>
      <c r="Q22" s="27"/>
      <c r="R22" s="26">
        <f>SUM(R12:R13,R16:R21)</f>
        <v>195999</v>
      </c>
      <c r="S22" s="27"/>
      <c r="T22" s="26">
        <f>SUM(T12:T13,T16:T21)</f>
        <v>1533014</v>
      </c>
    </row>
    <row r="25" spans="1:20" ht="15.75">
      <c r="A25" s="47" t="s">
        <v>110</v>
      </c>
      <c r="F25" s="35">
        <v>562965</v>
      </c>
      <c r="G25" s="36"/>
      <c r="H25" s="35">
        <v>595505</v>
      </c>
      <c r="I25" s="36"/>
      <c r="J25" s="35">
        <v>102250</v>
      </c>
      <c r="K25" s="36"/>
      <c r="L25" s="35">
        <v>4585</v>
      </c>
      <c r="M25" s="36"/>
      <c r="N25" s="35">
        <v>7998</v>
      </c>
      <c r="O25" s="36"/>
      <c r="P25" s="35">
        <v>0</v>
      </c>
      <c r="Q25" s="36"/>
      <c r="R25" s="35">
        <v>137155</v>
      </c>
      <c r="S25" s="36"/>
      <c r="T25" s="49">
        <f>SUM(F25:R25)</f>
        <v>1410458</v>
      </c>
    </row>
    <row r="26" spans="1:20" ht="15.75">
      <c r="A26" s="47" t="s">
        <v>182</v>
      </c>
      <c r="B26" s="47"/>
      <c r="C26" s="47"/>
      <c r="D26" s="47"/>
      <c r="E26" s="47"/>
      <c r="F26" s="49"/>
      <c r="G26" s="66"/>
      <c r="H26" s="49"/>
      <c r="I26" s="66"/>
      <c r="J26" s="49"/>
      <c r="K26" s="66"/>
      <c r="L26" s="49"/>
      <c r="M26" s="66"/>
      <c r="N26" s="49"/>
      <c r="O26" s="66"/>
      <c r="P26" s="49">
        <v>0</v>
      </c>
      <c r="Q26" s="66"/>
      <c r="R26" s="49"/>
      <c r="S26" s="66"/>
      <c r="T26" s="49"/>
    </row>
    <row r="27" spans="1:20" ht="15.75">
      <c r="A27" s="47"/>
      <c r="B27" s="99" t="s">
        <v>183</v>
      </c>
      <c r="C27" s="47"/>
      <c r="D27" s="47"/>
      <c r="E27" s="47"/>
      <c r="F27" s="49"/>
      <c r="G27" s="66"/>
      <c r="H27" s="49"/>
      <c r="I27" s="66"/>
      <c r="J27" s="49"/>
      <c r="K27" s="66"/>
      <c r="L27" s="49"/>
      <c r="M27" s="66"/>
      <c r="N27" s="49"/>
      <c r="O27" s="66"/>
      <c r="P27" s="49"/>
      <c r="Q27" s="66"/>
      <c r="R27" s="49">
        <v>10869</v>
      </c>
      <c r="S27" s="66"/>
      <c r="T27" s="49">
        <f>SUM(F27:R27)</f>
        <v>10869</v>
      </c>
    </row>
    <row r="28" spans="1:20" ht="15.75">
      <c r="A28" s="48"/>
      <c r="B28" s="100" t="s">
        <v>184</v>
      </c>
      <c r="C28" s="48"/>
      <c r="D28" s="48"/>
      <c r="E28" s="48"/>
      <c r="F28" s="50"/>
      <c r="G28" s="52"/>
      <c r="H28" s="50"/>
      <c r="I28" s="52"/>
      <c r="J28" s="50">
        <v>5434</v>
      </c>
      <c r="K28" s="52"/>
      <c r="L28" s="50"/>
      <c r="M28" s="52"/>
      <c r="N28" s="50"/>
      <c r="O28" s="52"/>
      <c r="P28" s="50"/>
      <c r="Q28" s="52"/>
      <c r="R28" s="50">
        <v>-5434</v>
      </c>
      <c r="S28" s="52"/>
      <c r="T28" s="50">
        <f>SUM(F28:R28)</f>
        <v>0</v>
      </c>
    </row>
    <row r="29" spans="1:20" ht="7.5" customHeight="1">
      <c r="A29" s="47"/>
      <c r="B29" s="47"/>
      <c r="C29" s="47"/>
      <c r="D29" s="47"/>
      <c r="E29" s="47"/>
      <c r="F29" s="49"/>
      <c r="G29" s="66"/>
      <c r="H29" s="49"/>
      <c r="I29" s="66"/>
      <c r="J29" s="49"/>
      <c r="K29" s="66"/>
      <c r="L29" s="49"/>
      <c r="M29" s="66"/>
      <c r="N29" s="49"/>
      <c r="O29" s="66"/>
      <c r="P29" s="49"/>
      <c r="Q29" s="66"/>
      <c r="R29" s="49"/>
      <c r="S29" s="66"/>
      <c r="T29" s="49"/>
    </row>
    <row r="30" spans="1:20" ht="15.75">
      <c r="A30" s="47" t="s">
        <v>121</v>
      </c>
      <c r="B30" s="47"/>
      <c r="C30" s="47"/>
      <c r="D30" s="47"/>
      <c r="E30" s="47"/>
      <c r="F30" s="49">
        <f>+SUM(F25:F28)</f>
        <v>562965</v>
      </c>
      <c r="G30" s="49">
        <f>+SUM(G25:G28)</f>
        <v>0</v>
      </c>
      <c r="H30" s="49">
        <f>+SUM(H25:H28)</f>
        <v>595505</v>
      </c>
      <c r="I30" s="49">
        <f>+SUM(I25:I28)</f>
        <v>0</v>
      </c>
      <c r="J30" s="49">
        <f>+SUM(J25:J28)</f>
        <v>107684</v>
      </c>
      <c r="K30" s="49">
        <f aca="true" t="shared" si="0" ref="K30:R30">+SUM(K25:K28)</f>
        <v>0</v>
      </c>
      <c r="L30" s="49">
        <f t="shared" si="0"/>
        <v>4585</v>
      </c>
      <c r="M30" s="49">
        <f t="shared" si="0"/>
        <v>0</v>
      </c>
      <c r="N30" s="49">
        <f t="shared" si="0"/>
        <v>7998</v>
      </c>
      <c r="O30" s="49">
        <f t="shared" si="0"/>
        <v>0</v>
      </c>
      <c r="P30" s="49">
        <f t="shared" si="0"/>
        <v>0</v>
      </c>
      <c r="Q30" s="49">
        <f t="shared" si="0"/>
        <v>0</v>
      </c>
      <c r="R30" s="49">
        <f t="shared" si="0"/>
        <v>142590</v>
      </c>
      <c r="S30" s="66"/>
      <c r="T30" s="49">
        <f>+SUM(T25:T28)</f>
        <v>1421327</v>
      </c>
    </row>
    <row r="31" spans="1:20" ht="15.75">
      <c r="A31" s="47" t="s">
        <v>67</v>
      </c>
      <c r="B31" s="47"/>
      <c r="C31" s="47"/>
      <c r="D31" s="47"/>
      <c r="E31" s="47"/>
      <c r="F31" s="49">
        <v>0</v>
      </c>
      <c r="G31" s="66"/>
      <c r="H31" s="49">
        <v>0</v>
      </c>
      <c r="I31" s="66"/>
      <c r="J31" s="49">
        <v>0</v>
      </c>
      <c r="K31" s="66"/>
      <c r="L31" s="49">
        <v>-256</v>
      </c>
      <c r="M31" s="66"/>
      <c r="N31" s="49">
        <v>0</v>
      </c>
      <c r="O31" s="66"/>
      <c r="P31" s="49">
        <v>0</v>
      </c>
      <c r="Q31" s="66"/>
      <c r="R31" s="49">
        <v>0</v>
      </c>
      <c r="S31" s="66"/>
      <c r="T31" s="49">
        <f>SUM(F31:R31)</f>
        <v>-256</v>
      </c>
    </row>
    <row r="32" spans="1:20" ht="15.75">
      <c r="A32" s="76" t="s">
        <v>68</v>
      </c>
      <c r="B32" s="23"/>
      <c r="C32" s="23"/>
      <c r="D32" s="23"/>
      <c r="E32" s="23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77"/>
    </row>
    <row r="33" spans="1:20" ht="15.75">
      <c r="A33" s="78"/>
      <c r="B33" s="47" t="s">
        <v>69</v>
      </c>
      <c r="C33" s="47"/>
      <c r="D33" s="47"/>
      <c r="E33" s="47"/>
      <c r="F33" s="49">
        <v>0</v>
      </c>
      <c r="G33" s="66"/>
      <c r="H33" s="49">
        <v>0</v>
      </c>
      <c r="I33" s="66"/>
      <c r="J33" s="49">
        <v>0</v>
      </c>
      <c r="K33" s="66"/>
      <c r="L33" s="49">
        <v>-256</v>
      </c>
      <c r="M33" s="66"/>
      <c r="N33" s="49">
        <v>0</v>
      </c>
      <c r="O33" s="66"/>
      <c r="P33" s="49">
        <v>0</v>
      </c>
      <c r="Q33" s="66"/>
      <c r="R33" s="49">
        <v>0</v>
      </c>
      <c r="S33" s="66"/>
      <c r="T33" s="79">
        <f>SUM(F33:R33)</f>
        <v>-256</v>
      </c>
    </row>
    <row r="34" spans="1:20" ht="15.75">
      <c r="A34" s="80" t="s">
        <v>137</v>
      </c>
      <c r="B34" s="48"/>
      <c r="C34" s="48"/>
      <c r="D34" s="48"/>
      <c r="E34" s="48"/>
      <c r="F34" s="50">
        <v>0</v>
      </c>
      <c r="G34" s="52"/>
      <c r="H34" s="50">
        <v>0</v>
      </c>
      <c r="I34" s="52"/>
      <c r="J34" s="50">
        <v>0</v>
      </c>
      <c r="K34" s="52"/>
      <c r="L34" s="50">
        <v>0</v>
      </c>
      <c r="M34" s="52"/>
      <c r="N34" s="50">
        <v>0</v>
      </c>
      <c r="O34" s="52"/>
      <c r="P34" s="50">
        <v>0</v>
      </c>
      <c r="Q34" s="52"/>
      <c r="R34" s="50">
        <f>+'P&amp;L'!N45</f>
        <v>37724</v>
      </c>
      <c r="S34" s="52"/>
      <c r="T34" s="81">
        <f>SUM(F34:R34)</f>
        <v>37724</v>
      </c>
    </row>
    <row r="35" spans="1:20" ht="15.75">
      <c r="A35" s="29" t="s">
        <v>138</v>
      </c>
      <c r="F35" s="35">
        <v>0</v>
      </c>
      <c r="G35" s="36"/>
      <c r="H35" s="35">
        <v>0</v>
      </c>
      <c r="I35" s="36"/>
      <c r="J35" s="35">
        <v>17130</v>
      </c>
      <c r="K35" s="36"/>
      <c r="L35" s="35">
        <v>0</v>
      </c>
      <c r="M35" s="36"/>
      <c r="N35" s="35">
        <v>0</v>
      </c>
      <c r="O35" s="36"/>
      <c r="P35" s="35"/>
      <c r="Q35" s="36"/>
      <c r="R35" s="35">
        <v>-17130</v>
      </c>
      <c r="S35" s="36"/>
      <c r="T35" s="35">
        <f>SUM(F35:R35)</f>
        <v>0</v>
      </c>
    </row>
    <row r="36" spans="1:20" ht="16.5" thickBot="1">
      <c r="A36" s="29" t="s">
        <v>130</v>
      </c>
      <c r="F36" s="26">
        <f>SUM(F30:F35)</f>
        <v>562965</v>
      </c>
      <c r="G36" s="27"/>
      <c r="H36" s="26">
        <f>SUM(H30:H35)</f>
        <v>595505</v>
      </c>
      <c r="I36" s="27"/>
      <c r="J36" s="26">
        <f>SUM(J30:J35)</f>
        <v>124814</v>
      </c>
      <c r="K36" s="27"/>
      <c r="L36" s="26">
        <f>SUM(L30:L31)</f>
        <v>4329</v>
      </c>
      <c r="M36" s="27"/>
      <c r="N36" s="26">
        <f>SUM(N30:N35)</f>
        <v>7998</v>
      </c>
      <c r="O36" s="27"/>
      <c r="P36" s="26">
        <f>SUM(P30:P35)</f>
        <v>0</v>
      </c>
      <c r="Q36" s="27"/>
      <c r="R36" s="26">
        <f>SUM(R30:R35)</f>
        <v>163184</v>
      </c>
      <c r="S36" s="27"/>
      <c r="T36" s="26">
        <f>SUM(T30:T35)-T33</f>
        <v>1458795</v>
      </c>
    </row>
    <row r="38" ht="15.75" hidden="1">
      <c r="A38" s="29" t="s">
        <v>80</v>
      </c>
    </row>
    <row r="39" ht="15.75">
      <c r="T39" s="67"/>
    </row>
    <row r="41" ht="15.75">
      <c r="T41" s="35">
        <f>+'Bal. Sheet'!H38</f>
        <v>1458795</v>
      </c>
    </row>
    <row r="43" ht="15.75">
      <c r="T43" s="67">
        <f>+T41-T36</f>
        <v>0</v>
      </c>
    </row>
  </sheetData>
  <mergeCells count="2">
    <mergeCell ref="A2:T2"/>
    <mergeCell ref="A3:T3"/>
  </mergeCells>
  <printOptions horizontalCentered="1"/>
  <pageMargins left="0.5" right="0.68" top="0.58" bottom="0.47" header="0.34" footer="0.26"/>
  <pageSetup horizontalDpi="600" verticalDpi="600" orientation="landscape" paperSize="9" scale="95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"/>
  <sheetViews>
    <sheetView tabSelected="1" view="pageBreakPreview" zoomScale="80" zoomScaleSheetLayoutView="80" workbookViewId="0" topLeftCell="A85">
      <selection activeCell="N106" sqref="N106"/>
    </sheetView>
  </sheetViews>
  <sheetFormatPr defaultColWidth="9.140625" defaultRowHeight="12.75"/>
  <cols>
    <col min="1" max="1" width="2.28125" style="29" customWidth="1"/>
    <col min="2" max="2" width="1.421875" style="29" customWidth="1"/>
    <col min="3" max="3" width="4.57421875" style="29" customWidth="1"/>
    <col min="4" max="5" width="1.7109375" style="29" customWidth="1"/>
    <col min="6" max="6" width="10.57421875" style="29" customWidth="1"/>
    <col min="7" max="7" width="1.7109375" style="29" customWidth="1"/>
    <col min="8" max="9" width="9.140625" style="29" customWidth="1"/>
    <col min="10" max="10" width="14.8515625" style="29" customWidth="1"/>
    <col min="11" max="11" width="6.28125" style="29" customWidth="1"/>
    <col min="12" max="12" width="9.00390625" style="29" customWidth="1"/>
    <col min="13" max="14" width="14.00390625" style="29" customWidth="1"/>
    <col min="15" max="15" width="12.421875" style="29" bestFit="1" customWidth="1"/>
    <col min="16" max="16384" width="9.140625" style="29" customWidth="1"/>
  </cols>
  <sheetData>
    <row r="1" ht="15.75">
      <c r="N1" s="32" t="s">
        <v>115</v>
      </c>
    </row>
    <row r="2" spans="1:14" ht="15.75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5.75">
      <c r="A3" s="98" t="s">
        <v>133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5" spans="13:14" ht="15.75">
      <c r="M5" s="98" t="s">
        <v>134</v>
      </c>
      <c r="N5" s="98"/>
    </row>
    <row r="6" spans="13:14" ht="15.75">
      <c r="M6" s="84" t="s">
        <v>131</v>
      </c>
      <c r="N6" s="84" t="s">
        <v>131</v>
      </c>
    </row>
    <row r="7" spans="13:14" ht="15.75">
      <c r="M7" s="84" t="s">
        <v>135</v>
      </c>
      <c r="N7" s="84" t="s">
        <v>136</v>
      </c>
    </row>
    <row r="8" spans="13:14" ht="15.75">
      <c r="M8" s="28" t="s">
        <v>49</v>
      </c>
      <c r="N8" s="28" t="s">
        <v>49</v>
      </c>
    </row>
    <row r="9" spans="1:14" ht="15.75">
      <c r="A9" s="34"/>
      <c r="M9" s="28"/>
      <c r="N9" s="28"/>
    </row>
    <row r="10" spans="1:14" ht="15.75">
      <c r="A10" s="34" t="s">
        <v>87</v>
      </c>
      <c r="M10" s="28"/>
      <c r="N10" s="28"/>
    </row>
    <row r="12" spans="2:14" ht="15.75">
      <c r="B12" s="29" t="s">
        <v>88</v>
      </c>
      <c r="M12" s="36">
        <v>155521</v>
      </c>
      <c r="N12" s="85">
        <v>78600</v>
      </c>
    </row>
    <row r="13" spans="2:14" ht="15.75">
      <c r="B13" s="29" t="s">
        <v>89</v>
      </c>
      <c r="M13" s="36"/>
      <c r="N13" s="85"/>
    </row>
    <row r="14" spans="3:14" ht="15.75">
      <c r="C14" s="29" t="s">
        <v>81</v>
      </c>
      <c r="M14" s="36">
        <v>55269</v>
      </c>
      <c r="N14" s="85">
        <v>52679</v>
      </c>
    </row>
    <row r="15" spans="3:14" ht="15.75">
      <c r="C15" s="29" t="s">
        <v>139</v>
      </c>
      <c r="M15" s="36">
        <v>0</v>
      </c>
      <c r="N15" s="85">
        <v>3246</v>
      </c>
    </row>
    <row r="16" spans="3:14" ht="15.75">
      <c r="C16" s="29" t="s">
        <v>171</v>
      </c>
      <c r="M16" s="36">
        <v>-26373</v>
      </c>
      <c r="N16" s="88">
        <v>0</v>
      </c>
    </row>
    <row r="17" spans="3:14" ht="15.75" hidden="1">
      <c r="C17" s="29" t="s">
        <v>140</v>
      </c>
      <c r="M17" s="36"/>
      <c r="N17" s="85">
        <v>0</v>
      </c>
    </row>
    <row r="18" spans="3:14" ht="15.75" hidden="1">
      <c r="C18" s="29" t="s">
        <v>141</v>
      </c>
      <c r="M18" s="36"/>
      <c r="N18" s="85">
        <v>0</v>
      </c>
    </row>
    <row r="19" spans="3:14" ht="15.75" hidden="1">
      <c r="C19" s="29" t="s">
        <v>142</v>
      </c>
      <c r="M19" s="36"/>
      <c r="N19" s="85">
        <v>0</v>
      </c>
    </row>
    <row r="20" spans="3:14" ht="15.75">
      <c r="C20" s="29" t="s">
        <v>143</v>
      </c>
      <c r="M20" s="36">
        <v>8</v>
      </c>
      <c r="N20" s="85">
        <v>103</v>
      </c>
    </row>
    <row r="21" spans="3:14" ht="15.75">
      <c r="C21" s="29" t="s">
        <v>144</v>
      </c>
      <c r="M21" s="36">
        <v>-8691</v>
      </c>
      <c r="N21" s="85">
        <v>-3804</v>
      </c>
    </row>
    <row r="22" spans="3:14" ht="15.75">
      <c r="C22" s="29" t="s">
        <v>145</v>
      </c>
      <c r="M22" s="36">
        <v>0</v>
      </c>
      <c r="N22" s="85">
        <v>-3832</v>
      </c>
    </row>
    <row r="23" spans="3:14" ht="15.75">
      <c r="C23" s="29" t="s">
        <v>146</v>
      </c>
      <c r="M23" s="36">
        <v>-40976</v>
      </c>
      <c r="N23" s="85">
        <v>-33394</v>
      </c>
    </row>
    <row r="24" spans="3:14" ht="15.75">
      <c r="C24" s="29" t="s">
        <v>118</v>
      </c>
      <c r="M24" s="36">
        <v>705</v>
      </c>
      <c r="N24" s="85">
        <v>890</v>
      </c>
    </row>
    <row r="25" spans="3:14" ht="15.75">
      <c r="C25" s="29" t="s">
        <v>148</v>
      </c>
      <c r="M25" s="36">
        <v>7917</v>
      </c>
      <c r="N25" s="85">
        <v>14680</v>
      </c>
    </row>
    <row r="26" spans="3:14" ht="15.75">
      <c r="C26" s="29" t="s">
        <v>149</v>
      </c>
      <c r="M26" s="36">
        <v>-600</v>
      </c>
      <c r="N26" s="85">
        <v>-12391</v>
      </c>
    </row>
    <row r="27" spans="3:14" ht="15.75" hidden="1">
      <c r="C27" s="29" t="s">
        <v>147</v>
      </c>
      <c r="M27" s="36"/>
      <c r="N27" s="85">
        <v>0</v>
      </c>
    </row>
    <row r="28" spans="3:14" ht="15.75">
      <c r="C28" s="29" t="s">
        <v>150</v>
      </c>
      <c r="M28" s="52">
        <v>0</v>
      </c>
      <c r="N28" s="86">
        <v>87</v>
      </c>
    </row>
    <row r="29" spans="3:14" ht="15.75" hidden="1">
      <c r="C29" s="29" t="s">
        <v>151</v>
      </c>
      <c r="M29" s="36">
        <v>0</v>
      </c>
      <c r="N29" s="85">
        <v>0</v>
      </c>
    </row>
    <row r="30" spans="3:14" ht="15.75" hidden="1">
      <c r="C30" s="29" t="s">
        <v>152</v>
      </c>
      <c r="M30" s="52"/>
      <c r="N30" s="86">
        <v>0</v>
      </c>
    </row>
    <row r="31" spans="3:14" ht="15.75">
      <c r="C31" s="29" t="s">
        <v>82</v>
      </c>
      <c r="M31" s="36">
        <f>SUM(M12:M30)</f>
        <v>142780</v>
      </c>
      <c r="N31" s="36">
        <f>SUM(N12:N30)</f>
        <v>96864</v>
      </c>
    </row>
    <row r="32" spans="13:14" ht="15.75">
      <c r="M32" s="36"/>
      <c r="N32" s="85"/>
    </row>
    <row r="33" spans="2:14" ht="15.75">
      <c r="B33" s="29" t="s">
        <v>90</v>
      </c>
      <c r="M33" s="36"/>
      <c r="N33" s="85"/>
    </row>
    <row r="34" spans="3:14" ht="15.75">
      <c r="C34" s="29" t="s">
        <v>153</v>
      </c>
      <c r="M34" s="68">
        <v>2263</v>
      </c>
      <c r="N34" s="85">
        <v>-2163</v>
      </c>
    </row>
    <row r="35" spans="3:14" ht="15.75">
      <c r="C35" s="29" t="s">
        <v>154</v>
      </c>
      <c r="M35" s="68">
        <v>-135458</v>
      </c>
      <c r="N35" s="85">
        <v>-57342</v>
      </c>
    </row>
    <row r="36" spans="3:14" ht="15.75" hidden="1">
      <c r="C36" s="29" t="s">
        <v>155</v>
      </c>
      <c r="M36" s="68">
        <v>0</v>
      </c>
      <c r="N36" s="85">
        <v>0</v>
      </c>
    </row>
    <row r="37" spans="3:14" ht="15.75">
      <c r="C37" s="29" t="s">
        <v>172</v>
      </c>
      <c r="M37" s="68">
        <v>-3</v>
      </c>
      <c r="N37" s="88">
        <v>0</v>
      </c>
    </row>
    <row r="38" spans="3:14" ht="15.75">
      <c r="C38" s="29" t="s">
        <v>156</v>
      </c>
      <c r="M38" s="68">
        <v>-52534</v>
      </c>
      <c r="N38" s="85">
        <v>-57645</v>
      </c>
    </row>
    <row r="39" spans="3:14" ht="15.75">
      <c r="C39" s="29" t="s">
        <v>157</v>
      </c>
      <c r="M39" s="68">
        <v>8153</v>
      </c>
      <c r="N39" s="85">
        <v>2414</v>
      </c>
    </row>
    <row r="40" spans="3:14" ht="15.75">
      <c r="C40" s="29" t="s">
        <v>158</v>
      </c>
      <c r="M40" s="68">
        <v>77048</v>
      </c>
      <c r="N40" s="85">
        <v>-106079</v>
      </c>
    </row>
    <row r="41" spans="3:14" ht="15.75">
      <c r="C41" s="29" t="s">
        <v>159</v>
      </c>
      <c r="M41" s="68">
        <v>-1048838</v>
      </c>
      <c r="N41" s="85">
        <f>-802154+79269</f>
        <v>-722885</v>
      </c>
    </row>
    <row r="42" spans="3:14" ht="15.75">
      <c r="C42" s="29" t="s">
        <v>160</v>
      </c>
      <c r="M42" s="68">
        <v>1405471</v>
      </c>
      <c r="N42" s="85">
        <v>1764359</v>
      </c>
    </row>
    <row r="43" spans="3:14" ht="15.75">
      <c r="C43" s="29" t="s">
        <v>185</v>
      </c>
      <c r="M43" s="68">
        <v>174800</v>
      </c>
      <c r="N43" s="88">
        <v>0</v>
      </c>
    </row>
    <row r="44" spans="3:14" ht="15.75">
      <c r="C44" s="29" t="s">
        <v>169</v>
      </c>
      <c r="M44" s="68">
        <v>-694444</v>
      </c>
      <c r="N44" s="85">
        <v>1083830</v>
      </c>
    </row>
    <row r="45" spans="3:14" ht="15.75">
      <c r="C45" s="29" t="s">
        <v>99</v>
      </c>
      <c r="M45" s="36">
        <v>243064</v>
      </c>
      <c r="N45" s="85">
        <v>177671</v>
      </c>
    </row>
    <row r="46" spans="3:14" ht="15.75">
      <c r="C46" s="29" t="s">
        <v>100</v>
      </c>
      <c r="M46" s="36">
        <v>15825</v>
      </c>
      <c r="N46" s="85">
        <v>26281</v>
      </c>
    </row>
    <row r="47" spans="3:14" ht="15.75">
      <c r="C47" s="29" t="s">
        <v>101</v>
      </c>
      <c r="M47" s="36">
        <v>18708</v>
      </c>
      <c r="N47" s="85">
        <v>25041</v>
      </c>
    </row>
    <row r="48" spans="3:14" ht="15.75">
      <c r="C48" s="29" t="s">
        <v>102</v>
      </c>
      <c r="M48" s="36">
        <v>1430</v>
      </c>
      <c r="N48" s="85">
        <v>13</v>
      </c>
    </row>
    <row r="49" spans="3:14" ht="15.75">
      <c r="C49" s="29" t="s">
        <v>116</v>
      </c>
      <c r="M49" s="36">
        <v>-284</v>
      </c>
      <c r="N49" s="85">
        <v>-98</v>
      </c>
    </row>
    <row r="50" spans="3:14" ht="15.75">
      <c r="C50" s="29" t="s">
        <v>117</v>
      </c>
      <c r="M50" s="52">
        <v>-211</v>
      </c>
      <c r="N50" s="86">
        <v>183</v>
      </c>
    </row>
    <row r="51" spans="2:14" ht="15.75">
      <c r="B51" s="29" t="s">
        <v>103</v>
      </c>
      <c r="M51" s="66">
        <f>SUM(M31:M50)</f>
        <v>157770</v>
      </c>
      <c r="N51" s="66">
        <f>SUM(N31:N50)</f>
        <v>2230444</v>
      </c>
    </row>
    <row r="52" spans="3:14" ht="15.75">
      <c r="C52" s="29" t="s">
        <v>104</v>
      </c>
      <c r="M52" s="66">
        <v>-32175</v>
      </c>
      <c r="N52" s="85">
        <v>-33233</v>
      </c>
    </row>
    <row r="53" spans="3:14" ht="15.75">
      <c r="C53" s="29" t="s">
        <v>105</v>
      </c>
      <c r="M53" s="66">
        <v>-1507</v>
      </c>
      <c r="N53" s="86">
        <v>-3691</v>
      </c>
    </row>
    <row r="54" spans="2:14" ht="15.75">
      <c r="B54" s="29" t="s">
        <v>106</v>
      </c>
      <c r="M54" s="53">
        <f>+M51+M52+M53</f>
        <v>124088</v>
      </c>
      <c r="N54" s="53">
        <f>+N51+N52+N53</f>
        <v>2193520</v>
      </c>
    </row>
    <row r="55" spans="13:14" ht="15.75">
      <c r="M55" s="66"/>
      <c r="N55" s="66"/>
    </row>
    <row r="56" spans="13:14" ht="15.75">
      <c r="M56" s="66"/>
      <c r="N56" s="66"/>
    </row>
    <row r="57" spans="13:14" ht="15.75">
      <c r="M57" s="66"/>
      <c r="N57" s="66"/>
    </row>
    <row r="58" ht="15.75">
      <c r="N58" s="32" t="s">
        <v>115</v>
      </c>
    </row>
    <row r="59" ht="15.75">
      <c r="M59" s="32"/>
    </row>
    <row r="60" ht="15.75">
      <c r="M60" s="36"/>
    </row>
    <row r="61" spans="1:14" ht="15.75">
      <c r="A61" s="98" t="s">
        <v>86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5.75">
      <c r="A62" s="98" t="s">
        <v>170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3:14" ht="15.75">
      <c r="M63" s="66"/>
      <c r="N63" s="66"/>
    </row>
    <row r="64" spans="13:14" ht="15.75">
      <c r="M64" s="98" t="s">
        <v>134</v>
      </c>
      <c r="N64" s="98"/>
    </row>
    <row r="65" spans="13:14" ht="15.75">
      <c r="M65" s="84" t="s">
        <v>131</v>
      </c>
      <c r="N65" s="84" t="s">
        <v>131</v>
      </c>
    </row>
    <row r="66" spans="13:14" ht="15.75">
      <c r="M66" s="84" t="s">
        <v>135</v>
      </c>
      <c r="N66" s="84" t="s">
        <v>136</v>
      </c>
    </row>
    <row r="67" spans="13:14" ht="15.75">
      <c r="M67" s="28" t="s">
        <v>49</v>
      </c>
      <c r="N67" s="28" t="s">
        <v>49</v>
      </c>
    </row>
    <row r="68" spans="13:14" ht="15.75">
      <c r="M68" s="66"/>
      <c r="N68" s="66"/>
    </row>
    <row r="69" spans="1:14" ht="15.75">
      <c r="A69" s="34" t="s">
        <v>91</v>
      </c>
      <c r="M69" s="36"/>
      <c r="N69" s="85"/>
    </row>
    <row r="70" spans="13:14" ht="15.75">
      <c r="M70" s="36"/>
      <c r="N70" s="85"/>
    </row>
    <row r="71" spans="2:14" ht="15.75">
      <c r="B71" s="29" t="s">
        <v>83</v>
      </c>
      <c r="M71" s="36">
        <v>-35057</v>
      </c>
      <c r="N71" s="85">
        <v>-34969</v>
      </c>
    </row>
    <row r="72" spans="2:14" ht="15.75">
      <c r="B72" s="29" t="s">
        <v>161</v>
      </c>
      <c r="M72" s="36">
        <v>640</v>
      </c>
      <c r="N72" s="85">
        <v>197</v>
      </c>
    </row>
    <row r="73" spans="2:14" ht="15.75">
      <c r="B73" s="29" t="s">
        <v>162</v>
      </c>
      <c r="M73" s="36">
        <v>0</v>
      </c>
      <c r="N73" s="85">
        <v>5149</v>
      </c>
    </row>
    <row r="74" spans="2:14" ht="15.75">
      <c r="B74" s="29" t="s">
        <v>163</v>
      </c>
      <c r="M74" s="36">
        <v>8691</v>
      </c>
      <c r="N74" s="85">
        <v>3804</v>
      </c>
    </row>
    <row r="75" spans="2:14" ht="15.75">
      <c r="B75" s="29" t="s">
        <v>166</v>
      </c>
      <c r="M75" s="36">
        <v>-936511</v>
      </c>
      <c r="N75" s="85">
        <v>-1833377</v>
      </c>
    </row>
    <row r="76" spans="2:14" ht="15.75">
      <c r="B76" s="29" t="s">
        <v>164</v>
      </c>
      <c r="M76" s="36">
        <v>-196</v>
      </c>
      <c r="N76" s="88">
        <v>0</v>
      </c>
    </row>
    <row r="77" spans="2:14" ht="15.75">
      <c r="B77" s="29" t="s">
        <v>165</v>
      </c>
      <c r="M77" s="36">
        <v>0</v>
      </c>
      <c r="N77" s="85">
        <v>330040</v>
      </c>
    </row>
    <row r="78" spans="2:14" ht="15.75" hidden="1">
      <c r="B78" s="29" t="s">
        <v>167</v>
      </c>
      <c r="M78" s="36">
        <v>0</v>
      </c>
      <c r="N78" s="86">
        <v>0</v>
      </c>
    </row>
    <row r="79" spans="2:14" ht="15.75">
      <c r="B79" s="29" t="s">
        <v>92</v>
      </c>
      <c r="M79" s="53">
        <f>SUM(M71:M78)</f>
        <v>-962433</v>
      </c>
      <c r="N79" s="53">
        <f>SUM(N71:N78)</f>
        <v>-1529156</v>
      </c>
    </row>
    <row r="80" ht="15.75">
      <c r="M80" s="36"/>
    </row>
    <row r="81" spans="1:13" ht="15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32"/>
    </row>
    <row r="82" spans="1:13" ht="15.75">
      <c r="A82" s="34" t="s">
        <v>93</v>
      </c>
      <c r="M82" s="36"/>
    </row>
    <row r="83" ht="15.75">
      <c r="M83" s="36"/>
    </row>
    <row r="84" spans="2:14" ht="15.75">
      <c r="B84" s="29" t="s">
        <v>107</v>
      </c>
      <c r="M84" s="36">
        <v>43000</v>
      </c>
      <c r="N84" s="36">
        <v>0</v>
      </c>
    </row>
    <row r="85" spans="2:14" ht="15.75">
      <c r="B85" s="29" t="s">
        <v>168</v>
      </c>
      <c r="M85" s="36">
        <v>0</v>
      </c>
      <c r="N85" s="36">
        <v>-176622</v>
      </c>
    </row>
    <row r="86" spans="2:14" ht="15.75">
      <c r="B86" s="29" t="s">
        <v>186</v>
      </c>
      <c r="M86" s="36">
        <v>0</v>
      </c>
      <c r="N86" s="36">
        <v>64940</v>
      </c>
    </row>
    <row r="87" spans="2:14" ht="15.75">
      <c r="B87" s="29" t="s">
        <v>108</v>
      </c>
      <c r="M87" s="36">
        <v>-20267</v>
      </c>
      <c r="N87" s="52">
        <v>-17227</v>
      </c>
    </row>
    <row r="88" spans="2:14" ht="15.75">
      <c r="B88" s="29" t="s">
        <v>94</v>
      </c>
      <c r="M88" s="53">
        <f>SUM(M84:M87)</f>
        <v>22733</v>
      </c>
      <c r="N88" s="53">
        <f>SUM(N84:N87)</f>
        <v>-128909</v>
      </c>
    </row>
    <row r="89" ht="15.75">
      <c r="M89" s="36"/>
    </row>
    <row r="90" spans="1:14" ht="15.75">
      <c r="A90" s="34" t="s">
        <v>119</v>
      </c>
      <c r="M90" s="36">
        <f>+M88+M79+M54</f>
        <v>-815612</v>
      </c>
      <c r="N90" s="36">
        <f>+N88+N79+N54</f>
        <v>535455</v>
      </c>
    </row>
    <row r="91" spans="1:13" ht="15.75">
      <c r="A91" s="34"/>
      <c r="M91" s="36"/>
    </row>
    <row r="92" spans="1:14" ht="15.75">
      <c r="A92" s="34" t="s">
        <v>109</v>
      </c>
      <c r="M92" s="36">
        <v>3675921</v>
      </c>
      <c r="N92" s="36">
        <v>3140466</v>
      </c>
    </row>
    <row r="93" spans="1:14" ht="15.75">
      <c r="A93" s="34"/>
      <c r="M93" s="36"/>
      <c r="N93" s="36"/>
    </row>
    <row r="94" spans="1:14" ht="15.75">
      <c r="A94" s="34" t="s">
        <v>173</v>
      </c>
      <c r="M94" s="36">
        <v>-90</v>
      </c>
      <c r="N94" s="36">
        <v>0</v>
      </c>
    </row>
    <row r="95" spans="1:14" ht="15.75">
      <c r="A95" s="34"/>
      <c r="M95" s="36"/>
      <c r="N95" s="36"/>
    </row>
    <row r="96" spans="1:14" ht="15.75">
      <c r="A96" s="34" t="s">
        <v>174</v>
      </c>
      <c r="M96" s="36">
        <v>1714</v>
      </c>
      <c r="N96" s="36">
        <v>0</v>
      </c>
    </row>
    <row r="97" spans="13:14" ht="15.75">
      <c r="M97" s="36"/>
      <c r="N97" s="36"/>
    </row>
    <row r="98" spans="1:14" ht="16.5" thickBot="1">
      <c r="A98" s="34" t="s">
        <v>95</v>
      </c>
      <c r="M98" s="27">
        <f>+SUM(M90:M96)</f>
        <v>2861933</v>
      </c>
      <c r="N98" s="27">
        <f>+SUM(N90:N96)</f>
        <v>3675921</v>
      </c>
    </row>
    <row r="99" spans="2:14" ht="15.75">
      <c r="B99" s="29" t="s">
        <v>96</v>
      </c>
      <c r="M99" s="36"/>
      <c r="N99" s="36"/>
    </row>
    <row r="100" spans="3:14" ht="15.75">
      <c r="C100" s="29" t="s">
        <v>43</v>
      </c>
      <c r="M100" s="36">
        <v>396338</v>
      </c>
      <c r="N100" s="36">
        <v>465217</v>
      </c>
    </row>
    <row r="101" spans="3:14" ht="15.75">
      <c r="C101" s="29" t="s">
        <v>84</v>
      </c>
      <c r="M101" s="66">
        <v>2465595</v>
      </c>
      <c r="N101" s="36">
        <v>3210704</v>
      </c>
    </row>
    <row r="102" spans="13:14" ht="16.5" thickBot="1">
      <c r="M102" s="27">
        <f>SUM(M100:M101)</f>
        <v>2861933</v>
      </c>
      <c r="N102" s="27">
        <f>SUM(N100:N101)</f>
        <v>3675921</v>
      </c>
    </row>
    <row r="106" spans="13:14" ht="15.75">
      <c r="M106" s="54">
        <f>+M102-M98</f>
        <v>0</v>
      </c>
      <c r="N106" s="54">
        <f>+N102-N98</f>
        <v>0</v>
      </c>
    </row>
  </sheetData>
  <mergeCells count="6">
    <mergeCell ref="M64:N64"/>
    <mergeCell ref="A2:N2"/>
    <mergeCell ref="A3:N3"/>
    <mergeCell ref="A61:N61"/>
    <mergeCell ref="A62:N62"/>
    <mergeCell ref="M5:N5"/>
  </mergeCells>
  <printOptions/>
  <pageMargins left="0.17" right="0.18" top="0.64" bottom="0.68" header="0.5" footer="0.5"/>
  <pageSetup horizontalDpi="600" verticalDpi="600" orientation="portrait" paperSize="9" scale="98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2003-08-27T08:10:04Z</cp:lastPrinted>
  <dcterms:created xsi:type="dcterms:W3CDTF">2002-10-23T07:32:02Z</dcterms:created>
  <dcterms:modified xsi:type="dcterms:W3CDTF">2003-08-29T10:27:29Z</dcterms:modified>
  <cp:category/>
  <cp:version/>
  <cp:contentType/>
  <cp:contentStatus/>
</cp:coreProperties>
</file>